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Audit Packages-Local Governments\Municipal\2023\Municipal GAAP Report Package-2023\Municipal GAAP Canned Financial Statements\"/>
    </mc:Choice>
  </mc:AlternateContent>
  <xr:revisionPtr revIDLastSave="0" documentId="13_ncr:1_{E0E1124F-9D1D-4670-872C-4594FE344C04}" xr6:coauthVersionLast="47" xr6:coauthVersionMax="47" xr10:uidLastSave="{00000000-0000-0000-0000-000000000000}"/>
  <bookViews>
    <workbookView xWindow="-108" yWindow="-108" windowWidth="23256" windowHeight="12456"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Calculations!$A$1:$L$203</definedName>
    <definedName name="_xlnm.Print_Area" localSheetId="0">'Change in Proportionate Share'!$A$1:$R$61</definedName>
    <definedName name="_xlnm.Print_Area" localSheetId="6">'Pension Notes'!$A$1:$F$270</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H168" i="1"/>
  <c r="C18" i="8"/>
  <c r="E18" i="8"/>
  <c r="C14" i="8"/>
  <c r="E14" i="8"/>
  <c r="C11" i="8"/>
  <c r="C16" i="8" s="1"/>
  <c r="E11" i="8"/>
  <c r="C16" i="7"/>
  <c r="E16" i="7"/>
  <c r="E14" i="7"/>
  <c r="C11" i="7"/>
  <c r="E11" i="7"/>
  <c r="F246" i="10"/>
  <c r="E246" i="10"/>
  <c r="D246" i="10"/>
  <c r="C155" i="10"/>
  <c r="C154" i="10"/>
  <c r="E126" i="10"/>
  <c r="F124" i="10"/>
  <c r="E124" i="10"/>
  <c r="E122" i="10"/>
  <c r="A104" i="10"/>
  <c r="F96" i="10"/>
  <c r="F94" i="10"/>
  <c r="F92" i="10"/>
  <c r="C21" i="8" l="1"/>
  <c r="C20" i="7"/>
  <c r="Q59" i="3" l="1"/>
  <c r="B54" i="3"/>
  <c r="C54" i="3"/>
  <c r="O54" i="3" s="1"/>
  <c r="Q39" i="3"/>
  <c r="C34" i="3"/>
  <c r="B34" i="3"/>
  <c r="N19" i="3"/>
  <c r="L54" i="3" l="1"/>
  <c r="M54" i="3"/>
  <c r="N54" i="3"/>
  <c r="P54" i="3" s="1"/>
  <c r="O34" i="3"/>
  <c r="L34" i="3"/>
  <c r="M34" i="3"/>
  <c r="N34" i="3"/>
  <c r="L19" i="3"/>
  <c r="O19" i="3"/>
  <c r="M19" i="3"/>
  <c r="P34" i="3" l="1"/>
  <c r="P19" i="3"/>
  <c r="S23" i="2" l="1"/>
  <c r="R23" i="2"/>
  <c r="H104" i="1" s="1"/>
  <c r="S15" i="2"/>
  <c r="R15" i="2"/>
  <c r="R25" i="2" l="1"/>
  <c r="C76" i="10" s="1"/>
  <c r="S25" i="2"/>
  <c r="H43" i="1"/>
  <c r="H37" i="1"/>
  <c r="P15" i="2"/>
  <c r="G14" i="7"/>
  <c r="G11" i="7"/>
  <c r="B53" i="3"/>
  <c r="C53" i="3"/>
  <c r="C35" i="3"/>
  <c r="C33" i="3"/>
  <c r="B33" i="3"/>
  <c r="L53" i="3" l="1"/>
  <c r="N53" i="3"/>
  <c r="M53" i="3"/>
  <c r="K53" i="3"/>
  <c r="O53" i="3" l="1"/>
  <c r="N18" i="3" l="1"/>
  <c r="M18" i="3"/>
  <c r="Q23" i="2"/>
  <c r="S27" i="2" s="1"/>
  <c r="P23" i="2"/>
  <c r="Q15" i="2"/>
  <c r="I14" i="7"/>
  <c r="I11" i="7"/>
  <c r="O23" i="2"/>
  <c r="N23" i="2"/>
  <c r="O15" i="2"/>
  <c r="N15" i="2"/>
  <c r="P25" i="2" l="1"/>
  <c r="C77" i="10" s="1"/>
  <c r="R27" i="2"/>
  <c r="P27" i="2"/>
  <c r="Q27" i="2"/>
  <c r="G16" i="7" s="1"/>
  <c r="N25" i="2"/>
  <c r="Q25" i="2"/>
  <c r="G18" i="8" s="1"/>
  <c r="K18" i="3"/>
  <c r="L18" i="3"/>
  <c r="I11" i="8"/>
  <c r="I14" i="8"/>
  <c r="O25" i="2"/>
  <c r="I18" i="8" s="1"/>
  <c r="G14" i="8" l="1"/>
  <c r="G11" i="8"/>
  <c r="O18" i="3"/>
  <c r="M235" i="12"/>
  <c r="K14" i="7" l="1"/>
  <c r="K11" i="7"/>
  <c r="M23" i="2" l="1"/>
  <c r="L23" i="2"/>
  <c r="M15" i="2"/>
  <c r="L15" i="2"/>
  <c r="O27" i="2" l="1"/>
  <c r="I16" i="7" s="1"/>
  <c r="I20" i="7" s="1"/>
  <c r="N27" i="2"/>
  <c r="L25" i="2"/>
  <c r="M25" i="2"/>
  <c r="K18" i="8" s="1"/>
  <c r="K14" i="8" l="1"/>
  <c r="K21" i="8" s="1"/>
  <c r="K11" i="8"/>
  <c r="K16" i="8" l="1"/>
  <c r="M14" i="7"/>
  <c r="O14" i="7"/>
  <c r="M11" i="7"/>
  <c r="U23" i="2" l="1"/>
  <c r="T23" i="2"/>
  <c r="H108" i="1" s="1"/>
  <c r="U15" i="2"/>
  <c r="T15" i="2"/>
  <c r="T27" i="2" s="1"/>
  <c r="J43" i="1"/>
  <c r="U27" i="2" l="1"/>
  <c r="E20" i="7" s="1"/>
  <c r="H106" i="1"/>
  <c r="U25" i="2"/>
  <c r="T25" i="2"/>
  <c r="C75" i="10" s="1"/>
  <c r="E21" i="8" l="1"/>
  <c r="G21" i="8"/>
  <c r="I21" i="8"/>
  <c r="Q14" i="7"/>
  <c r="S14" i="7"/>
  <c r="S11" i="7"/>
  <c r="E16" i="8" l="1"/>
  <c r="G16" i="8"/>
  <c r="I16" i="8"/>
  <c r="C23" i="2"/>
  <c r="B23" i="2"/>
  <c r="C15" i="2"/>
  <c r="B15" i="2"/>
  <c r="B25" i="2" l="1"/>
  <c r="C25" i="2"/>
  <c r="Q11" i="7" l="1"/>
  <c r="B48" i="3" l="1"/>
  <c r="B47" i="3"/>
  <c r="B46" i="3"/>
  <c r="C55" i="3"/>
  <c r="C52" i="3"/>
  <c r="C51" i="3"/>
  <c r="C50" i="3"/>
  <c r="C49" i="3"/>
  <c r="C48" i="3"/>
  <c r="C47" i="3"/>
  <c r="C46" i="3"/>
  <c r="C32" i="3"/>
  <c r="C31" i="3"/>
  <c r="C30" i="3"/>
  <c r="C29" i="3"/>
  <c r="C28" i="3"/>
  <c r="C27" i="3"/>
  <c r="C26" i="3"/>
  <c r="D26" i="3" s="1"/>
  <c r="B28" i="3"/>
  <c r="B27" i="3"/>
  <c r="B26" i="3"/>
  <c r="H27" i="3" l="1"/>
  <c r="F48" i="3"/>
  <c r="G48" i="3" s="1"/>
  <c r="D46" i="3"/>
  <c r="F47" i="3"/>
  <c r="E47" i="3"/>
  <c r="F27" i="3"/>
  <c r="E27" i="3"/>
  <c r="G27" i="3"/>
  <c r="I28" i="3"/>
  <c r="F28" i="3"/>
  <c r="G28" i="3"/>
  <c r="H28" i="3"/>
  <c r="D37" i="3"/>
  <c r="E26" i="3"/>
  <c r="E37" i="3" l="1"/>
  <c r="I27" i="3"/>
  <c r="J27" i="3" s="1"/>
  <c r="H48" i="3"/>
  <c r="I48" i="3" s="1"/>
  <c r="E46" i="3"/>
  <c r="F46" i="3" s="1"/>
  <c r="D57" i="3"/>
  <c r="G47" i="3"/>
  <c r="H47" i="3" s="1"/>
  <c r="J28" i="3"/>
  <c r="F26" i="3"/>
  <c r="F37" i="3" l="1"/>
  <c r="G26" i="3"/>
  <c r="F57" i="3"/>
  <c r="J48" i="3"/>
  <c r="E57" i="3"/>
  <c r="G46" i="3"/>
  <c r="I47" i="3"/>
  <c r="J47" i="3" s="1"/>
  <c r="H26" i="3" l="1"/>
  <c r="H46" i="3"/>
  <c r="I26" i="3" l="1"/>
  <c r="I46" i="3"/>
  <c r="F59" i="3" s="1"/>
  <c r="F39" i="3" l="1"/>
  <c r="E39" i="3"/>
  <c r="D39" i="3"/>
  <c r="D59" i="3"/>
  <c r="E59" i="3"/>
  <c r="F90" i="1" l="1"/>
  <c r="F52" i="1" l="1"/>
  <c r="J15" i="2"/>
  <c r="F98"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S16" i="7" s="1"/>
  <c r="S20" i="7" s="1"/>
  <c r="D23" i="2"/>
  <c r="E23" i="2"/>
  <c r="C310" i="12" l="1"/>
  <c r="C325" i="12" s="1"/>
  <c r="D25" i="2"/>
  <c r="M118" i="12"/>
  <c r="E25" i="2"/>
  <c r="S18" i="8" s="1"/>
  <c r="C292" i="12"/>
  <c r="J143" i="1"/>
  <c r="D7" i="4" s="1"/>
  <c r="G90" i="11" s="1"/>
  <c r="S14" i="8" l="1"/>
  <c r="S21" i="8" s="1"/>
  <c r="S11" i="8"/>
  <c r="F91" i="1"/>
  <c r="F89" i="1"/>
  <c r="F120" i="1"/>
  <c r="H42" i="1"/>
  <c r="S16" i="8" l="1"/>
  <c r="U20" i="7"/>
  <c r="W20" i="7"/>
  <c r="D103" i="10" l="1"/>
  <c r="O11" i="7" l="1"/>
  <c r="Y21" i="8"/>
  <c r="W21" i="8"/>
  <c r="U21" i="8"/>
  <c r="Y16" i="8"/>
  <c r="W16" i="8"/>
  <c r="U16" i="8"/>
  <c r="H12" i="3"/>
  <c r="G12" i="3"/>
  <c r="F12" i="3"/>
  <c r="E12" i="3"/>
  <c r="D11" i="3"/>
  <c r="I12" i="3" l="1"/>
  <c r="E11" i="3"/>
  <c r="F11" i="3" s="1"/>
  <c r="G11" i="3" l="1"/>
  <c r="H11" i="3" l="1"/>
  <c r="I11" i="3" l="1"/>
  <c r="K23" i="2"/>
  <c r="J23" i="2"/>
  <c r="I23" i="2"/>
  <c r="H23" i="2"/>
  <c r="G23" i="2"/>
  <c r="F23" i="2"/>
  <c r="K15" i="2"/>
  <c r="I15" i="2"/>
  <c r="H15" i="2"/>
  <c r="G15" i="2"/>
  <c r="G27" i="2" s="1"/>
  <c r="Q16" i="7" s="1"/>
  <c r="Q20" i="7" s="1"/>
  <c r="F15" i="2"/>
  <c r="F27" i="2" s="1"/>
  <c r="L27" i="2" l="1"/>
  <c r="G20" i="7"/>
  <c r="M27" i="2"/>
  <c r="K16" i="7" s="1"/>
  <c r="K20" i="7" s="1"/>
  <c r="H149" i="1"/>
  <c r="K25" i="2"/>
  <c r="M18" i="8" s="1"/>
  <c r="J25" i="2"/>
  <c r="H25" i="2"/>
  <c r="I27" i="2"/>
  <c r="O16" i="7" s="1"/>
  <c r="J27" i="2"/>
  <c r="K27" i="2"/>
  <c r="M16" i="7" s="1"/>
  <c r="G25" i="2"/>
  <c r="Q18" i="8" s="1"/>
  <c r="H27" i="2"/>
  <c r="F25" i="2"/>
  <c r="I25" i="2"/>
  <c r="O18" i="8" s="1"/>
  <c r="J120" i="1" l="1"/>
  <c r="H190" i="1"/>
  <c r="M14" i="8"/>
  <c r="M21" i="8" s="1"/>
  <c r="M11" i="8"/>
  <c r="O14" i="8"/>
  <c r="O11" i="8"/>
  <c r="Q14" i="8"/>
  <c r="Q21" i="8" s="1"/>
  <c r="Q11" i="8"/>
  <c r="H85" i="1"/>
  <c r="H90" i="1" s="1"/>
  <c r="J42" i="1"/>
  <c r="J37" i="1"/>
  <c r="H52" i="1" s="1"/>
  <c r="Q16" i="8" l="1"/>
  <c r="O16" i="8"/>
  <c r="H89" i="1"/>
  <c r="H88" i="1"/>
  <c r="H91" i="1"/>
  <c r="H195" i="1"/>
  <c r="M16" i="8"/>
  <c r="O21" i="8"/>
  <c r="J150" i="1"/>
  <c r="F53" i="1"/>
  <c r="H142" i="1" s="1"/>
  <c r="O20" i="7"/>
  <c r="F55" i="1"/>
  <c r="J144" i="1" s="1"/>
  <c r="H53" i="1"/>
  <c r="H55" i="1"/>
  <c r="H117" i="1"/>
  <c r="J61" i="1"/>
  <c r="J85" i="1"/>
  <c r="H49" i="1"/>
  <c r="F49" i="1"/>
  <c r="J60" i="1"/>
  <c r="H177" i="1" s="1"/>
  <c r="H120" i="1" l="1"/>
  <c r="K120" i="1" s="1"/>
  <c r="K54" i="1"/>
  <c r="J175" i="1" s="1"/>
  <c r="D18" i="4" s="1"/>
  <c r="G91" i="11" s="1"/>
  <c r="G94" i="11" s="1"/>
  <c r="M20" i="7"/>
  <c r="E134" i="10"/>
  <c r="A141" i="10" s="1"/>
  <c r="C49" i="4"/>
  <c r="E49" i="11" s="1"/>
  <c r="J191" i="1"/>
  <c r="D36" i="4" s="1"/>
  <c r="G49" i="11" s="1"/>
  <c r="C35" i="4"/>
  <c r="E122" i="11" s="1"/>
  <c r="K55" i="1"/>
  <c r="J176" i="1" s="1"/>
  <c r="J177" i="1"/>
  <c r="J196" i="1"/>
  <c r="J91" i="1"/>
  <c r="L91" i="1" s="1"/>
  <c r="J89" i="1"/>
  <c r="K89" i="1" s="1"/>
  <c r="J90" i="1"/>
  <c r="L90" i="1" s="1"/>
  <c r="J88" i="1"/>
  <c r="K88" i="1" s="1"/>
  <c r="J53" i="1"/>
  <c r="H174" i="1" s="1"/>
  <c r="H141" i="1"/>
  <c r="J145" i="1" s="1"/>
  <c r="J52" i="1"/>
  <c r="J62" i="1"/>
  <c r="H175" i="1" l="1"/>
  <c r="C18" i="4" s="1"/>
  <c r="E91" i="11" s="1"/>
  <c r="M90" i="11" s="1"/>
  <c r="M94" i="11" s="1"/>
  <c r="H176" i="1"/>
  <c r="C19" i="4" s="1"/>
  <c r="L92" i="1"/>
  <c r="C5" i="4"/>
  <c r="E34" i="11" s="1"/>
  <c r="C38" i="4"/>
  <c r="E124" i="12" s="1"/>
  <c r="D50" i="4"/>
  <c r="G122" i="11" s="1"/>
  <c r="H173" i="1"/>
  <c r="C16" i="4" s="1"/>
  <c r="E35" i="11" s="1"/>
  <c r="J173" i="1"/>
  <c r="D16" i="4" s="1"/>
  <c r="G35" i="11" s="1"/>
  <c r="G44" i="11" s="1"/>
  <c r="J174" i="1"/>
  <c r="D17" i="4" s="1"/>
  <c r="G48" i="11" s="1"/>
  <c r="G53" i="11" s="1"/>
  <c r="K92" i="1"/>
  <c r="K123" i="1"/>
  <c r="E94" i="11" l="1"/>
  <c r="L94" i="1"/>
  <c r="G56" i="11"/>
  <c r="M34" i="11"/>
  <c r="M44" i="11" s="1"/>
  <c r="E44" i="11"/>
  <c r="D52" i="4"/>
  <c r="G125" i="12" s="1"/>
  <c r="K94" i="1"/>
  <c r="K124" i="1"/>
  <c r="J96" i="1" l="1"/>
  <c r="J97" i="1" l="1"/>
  <c r="B20" i="3" s="1"/>
  <c r="J132" i="1"/>
  <c r="J134" i="1" s="1"/>
  <c r="J12" i="3"/>
  <c r="B35" i="3" l="1"/>
  <c r="P20" i="3"/>
  <c r="O20" i="3"/>
  <c r="N20" i="3"/>
  <c r="M20" i="3"/>
  <c r="B55" i="3"/>
  <c r="M17" i="3"/>
  <c r="K17" i="3"/>
  <c r="L17" i="3"/>
  <c r="J17" i="3"/>
  <c r="B32" i="3"/>
  <c r="B52" i="3"/>
  <c r="H132" i="1"/>
  <c r="H134" i="1" s="1"/>
  <c r="H182" i="1" s="1"/>
  <c r="I14" i="3"/>
  <c r="J185" i="1"/>
  <c r="H183" i="1"/>
  <c r="G14" i="3"/>
  <c r="B49" i="3"/>
  <c r="B29" i="3"/>
  <c r="H14" i="3"/>
  <c r="G13" i="3"/>
  <c r="I13" i="3"/>
  <c r="H13" i="3"/>
  <c r="F13" i="3"/>
  <c r="N55" i="3" l="1"/>
  <c r="M55" i="3"/>
  <c r="P55" i="3"/>
  <c r="O55" i="3"/>
  <c r="Q20" i="3"/>
  <c r="P35" i="3"/>
  <c r="O35" i="3"/>
  <c r="N35" i="3"/>
  <c r="M35" i="3"/>
  <c r="M52" i="3"/>
  <c r="J52" i="3"/>
  <c r="K33" i="3"/>
  <c r="N33" i="3"/>
  <c r="M33" i="3"/>
  <c r="L33" i="3"/>
  <c r="N17" i="3"/>
  <c r="L52" i="3"/>
  <c r="K52" i="3"/>
  <c r="M32" i="3"/>
  <c r="L32" i="3"/>
  <c r="J32" i="3"/>
  <c r="K32" i="3"/>
  <c r="J184" i="1"/>
  <c r="I16" i="3"/>
  <c r="J16" i="3"/>
  <c r="K16" i="3"/>
  <c r="L16" i="3"/>
  <c r="B51" i="3"/>
  <c r="B31" i="3"/>
  <c r="K15" i="3"/>
  <c r="I15" i="3"/>
  <c r="H15" i="3"/>
  <c r="J15" i="3"/>
  <c r="B50" i="3"/>
  <c r="B30" i="3"/>
  <c r="J14" i="3"/>
  <c r="K14" i="3" s="1"/>
  <c r="G29" i="3"/>
  <c r="G37" i="3" s="1"/>
  <c r="H29" i="3"/>
  <c r="J29" i="3"/>
  <c r="I29" i="3"/>
  <c r="H49" i="3"/>
  <c r="G49" i="3"/>
  <c r="G57" i="3" s="1"/>
  <c r="I49" i="3"/>
  <c r="J49" i="3"/>
  <c r="J13" i="3"/>
  <c r="Q35" i="3" l="1"/>
  <c r="O39" i="3" s="1"/>
  <c r="Q55" i="3"/>
  <c r="P59" i="3" s="1"/>
  <c r="Q57" i="3"/>
  <c r="P37" i="3"/>
  <c r="O33" i="3"/>
  <c r="N39" i="3" s="1"/>
  <c r="N52" i="3"/>
  <c r="N32" i="3"/>
  <c r="M16" i="3"/>
  <c r="I51" i="3"/>
  <c r="L51" i="3"/>
  <c r="K51" i="3"/>
  <c r="J51" i="3"/>
  <c r="L31" i="3"/>
  <c r="I31" i="3"/>
  <c r="K31" i="3"/>
  <c r="J31" i="3"/>
  <c r="L15" i="3"/>
  <c r="K30" i="3"/>
  <c r="I30" i="3"/>
  <c r="J30" i="3"/>
  <c r="H30" i="3"/>
  <c r="H37" i="3" s="1"/>
  <c r="K50" i="3"/>
  <c r="H50" i="3"/>
  <c r="J50" i="3"/>
  <c r="I50" i="3"/>
  <c r="K49" i="3"/>
  <c r="K29" i="3"/>
  <c r="G39" i="3" s="1"/>
  <c r="P39" i="3" l="1"/>
  <c r="Q37" i="3"/>
  <c r="C153" i="10" s="1"/>
  <c r="O59" i="3"/>
  <c r="N59" i="3"/>
  <c r="M39" i="3"/>
  <c r="E131" i="10" s="1"/>
  <c r="J37" i="3"/>
  <c r="P57" i="3"/>
  <c r="C152" i="10" s="1"/>
  <c r="I37" i="3"/>
  <c r="O37" i="3"/>
  <c r="C151" i="10" s="1"/>
  <c r="K37" i="3"/>
  <c r="N37" i="3"/>
  <c r="C150" i="10" s="1"/>
  <c r="O57" i="3"/>
  <c r="N57" i="3"/>
  <c r="M59" i="3"/>
  <c r="F131" i="10" s="1"/>
  <c r="I57" i="3"/>
  <c r="M51" i="3"/>
  <c r="M31" i="3"/>
  <c r="J57" i="3"/>
  <c r="L30" i="3"/>
  <c r="K39" i="3" s="1"/>
  <c r="L50" i="3"/>
  <c r="H57" i="3"/>
  <c r="K57" i="3"/>
  <c r="G59" i="3"/>
  <c r="L39" i="3" l="1"/>
  <c r="H156" i="1" s="1"/>
  <c r="J166" i="1"/>
  <c r="C17" i="4" s="1"/>
  <c r="E48" i="11" s="1"/>
  <c r="L59" i="3"/>
  <c r="J157" i="1" s="1"/>
  <c r="H39" i="3"/>
  <c r="D19" i="4"/>
  <c r="G100" i="11" s="1"/>
  <c r="K59" i="3"/>
  <c r="L37" i="3"/>
  <c r="M37" i="3"/>
  <c r="J59" i="3"/>
  <c r="I39" i="3"/>
  <c r="J39" i="3"/>
  <c r="M57" i="3"/>
  <c r="I59" i="3"/>
  <c r="H59" i="3"/>
  <c r="L57" i="3"/>
  <c r="H167" i="1" l="1"/>
  <c r="E136" i="10"/>
  <c r="C6" i="4"/>
  <c r="E47" i="11" s="1"/>
  <c r="M47" i="11" s="1"/>
  <c r="M53" i="11" s="1"/>
  <c r="M56" i="11" s="1"/>
  <c r="F136" i="10"/>
  <c r="E100" i="11"/>
  <c r="J167" i="1"/>
  <c r="D20" i="4" s="1"/>
  <c r="E53" i="11" l="1"/>
  <c r="E56" i="11" s="1"/>
  <c r="C157" i="10"/>
  <c r="D8" i="4"/>
  <c r="G99" i="11" s="1"/>
  <c r="G103" i="11" s="1"/>
  <c r="H158" i="1"/>
  <c r="J158"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6" i="10" s="1"/>
  <c r="M120" i="11"/>
  <c r="M128" i="11" s="1"/>
  <c r="M131" i="11" s="1"/>
  <c r="M156" i="12" l="1"/>
  <c r="M290" i="12" s="1"/>
  <c r="M292" i="12" s="1"/>
  <c r="M310" i="12" l="1"/>
  <c r="M32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<sst xmlns="http://schemas.openxmlformats.org/spreadsheetml/2006/main" count="1268" uniqueCount="964">
  <si>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</si>
  <si>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</si>
  <si>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</si>
  <si>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</si>
  <si>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</si>
  <si>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</si>
  <si>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</si>
  <si>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</si>
  <si>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</si>
  <si>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</si>
  <si>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</si>
  <si>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</si>
  <si>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</si>
  <si>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</si>
  <si>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</si>
  <si>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</si>
  <si>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</si>
  <si>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</si>
  <si>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</si>
  <si>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</si>
  <si>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</si>
  <si>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</si>
  <si>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</si>
  <si>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</si>
  <si>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</si>
  <si>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</si>
  <si>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</si>
  <si>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</si>
  <si>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</si>
  <si>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</si>
  <si>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</si>
  <si>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</si>
  <si>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</si>
  <si>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</si>
  <si>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</si>
  <si>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</si>
  <si>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</si>
  <si>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</si>
  <si>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</si>
  <si>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</si>
  <si>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</si>
  <si>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</si>
  <si>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</si>
  <si>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</si>
  <si>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</si>
  <si>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</si>
  <si>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</si>
  <si>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</si>
  <si>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</si>
  <si>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</si>
  <si>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</si>
  <si>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</si>
  <si>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</si>
  <si>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</si>
  <si>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</si>
  <si>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</si>
  <si>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</si>
  <si>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</si>
  <si>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</si>
  <si>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</si>
  <si>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</si>
  <si>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</si>
  <si>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</si>
  <si>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</si>
  <si>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</si>
  <si>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</si>
  <si>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</si>
  <si>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</si>
  <si>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</si>
  <si>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</si>
  <si>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</si>
  <si>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</si>
  <si>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</si>
  <si>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</si>
  <si>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</si>
  <si>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</si>
  <si>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</si>
  <si>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</si>
  <si>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</si>
  <si>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</si>
  <si>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</si>
  <si>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</si>
  <si>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</si>
  <si>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</si>
  <si>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</si>
  <si>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</si>
  <si>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</si>
  <si>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</si>
  <si>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</si>
  <si>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</si>
  <si>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</si>
  <si>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</si>
  <si>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</si>
  <si>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</si>
  <si>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</si>
  <si>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</si>
  <si>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</si>
  <si>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</si>
  <si>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</si>
  <si>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</si>
  <si>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</si>
  <si>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</si>
  <si>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</si>
  <si>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</si>
  <si>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</si>
  <si>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</si>
  <si>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</si>
  <si>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</si>
  <si>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</si>
  <si>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</si>
  <si>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</si>
  <si>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</si>
  <si>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</si>
  <si>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</si>
  <si>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</si>
  <si>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</si>
  <si>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</si>
  <si>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</si>
  <si>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</si>
  <si>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</si>
  <si>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</si>
  <si>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</si>
  <si>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</si>
  <si>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</si>
  <si>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</si>
  <si>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</si>
  <si>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</si>
  <si>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</si>
  <si>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</si>
  <si>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</si>
  <si>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</si>
  <si>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</si>
  <si>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</si>
  <si>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</si>
  <si>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</si>
  <si>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</si>
  <si>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</si>
  <si>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</si>
  <si>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</si>
  <si>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</si>
  <si>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</si>
  <si>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</si>
  <si>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</si>
  <si>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</si>
  <si>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</si>
  <si>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</si>
  <si>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</si>
  <si>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</si>
  <si>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</si>
  <si>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</si>
  <si>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</si>
  <si>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</si>
  <si>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</si>
  <si>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</si>
  <si>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</si>
  <si>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</si>
  <si>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</si>
  <si>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</si>
  <si>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</si>
  <si>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</si>
  <si>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</si>
  <si>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</si>
  <si>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</si>
  <si>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</si>
  <si>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</si>
  <si>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</si>
  <si>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</si>
  <si>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</si>
  <si>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</si>
  <si>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</si>
  <si>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</si>
  <si>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</si>
  <si>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</si>
  <si>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</si>
  <si>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</si>
  <si>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</si>
  <si>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</si>
  <si>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</si>
  <si>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</si>
  <si>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</si>
  <si>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</si>
  <si>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</si>
  <si>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</si>
  <si>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</si>
  <si>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</si>
  <si>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</si>
  <si>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</si>
  <si>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</si>
  <si>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</si>
  <si>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</si>
  <si>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</si>
  <si>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</si>
  <si>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</si>
  <si>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</si>
  <si>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</si>
  <si>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</si>
  <si>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</si>
  <si>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</si>
  <si>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</si>
  <si>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</si>
  <si>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</si>
  <si>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</si>
  <si>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</si>
  <si>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</si>
  <si>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</si>
  <si>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</si>
  <si>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20__</t>
  </si>
  <si>
    <t>liability/asset</t>
  </si>
  <si>
    <t>%</t>
  </si>
  <si>
    <t>pension liability (asset)</t>
  </si>
  <si>
    <t>pension liability (asset) as a percentage</t>
  </si>
  <si>
    <t xml:space="preserve">Plan fiduciary net position as a </t>
  </si>
  <si>
    <t xml:space="preserve">percentage of the total pension </t>
  </si>
  <si>
    <t>liability (asset)</t>
  </si>
  <si>
    <t>Contractually required contribution</t>
  </si>
  <si>
    <t>contractually required contribution</t>
  </si>
  <si>
    <t>Contribution deficiency (excess)</t>
  </si>
  <si>
    <t xml:space="preserve">Contributions as a percentage of </t>
  </si>
  <si>
    <t>PENSION NOTE:</t>
  </si>
  <si>
    <t>Plan Information:</t>
  </si>
  <si>
    <t xml:space="preserve">establishing, administering and amending plan provisions are found in SDCL 3-12.  The SDRS </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</si>
  <si>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</si>
  <si>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</si>
  <si>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</si>
  <si>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</si>
  <si>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</si>
  <si>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</si>
  <si>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</si>
  <si>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</si>
  <si>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</si>
  <si>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</si>
  <si>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</si>
  <si>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</si>
  <si>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</si>
  <si>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</si>
  <si>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</si>
  <si>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</si>
  <si>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</si>
  <si>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</si>
  <si>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</si>
  <si>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</si>
  <si>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</si>
  <si>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</si>
  <si>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</si>
  <si>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</si>
  <si>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</si>
  <si>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</si>
  <si>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</si>
  <si>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</si>
  <si>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</si>
  <si>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</si>
  <si>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</si>
  <si>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</si>
  <si>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</si>
  <si>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</si>
  <si>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</si>
  <si>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</si>
  <si>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</si>
  <si>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</si>
  <si>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</si>
  <si>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</si>
  <si>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</si>
  <si>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</si>
  <si>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</si>
  <si>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</si>
  <si>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</si>
  <si>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</si>
  <si>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</si>
  <si>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</si>
  <si>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</si>
  <si>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</si>
  <si>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</si>
  <si>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</si>
  <si>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</si>
  <si>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</si>
  <si>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</si>
  <si>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</si>
  <si>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</si>
  <si>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</si>
  <si>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</si>
  <si>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</si>
  <si>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</si>
  <si>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</si>
  <si>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</si>
  <si>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</si>
  <si>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</si>
  <si>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</si>
  <si>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</si>
  <si>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</si>
  <si>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</si>
  <si>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</si>
  <si>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</si>
  <si>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</si>
  <si>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</si>
  <si>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</si>
  <si>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</si>
  <si>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</si>
  <si>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</si>
  <si>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</si>
  <si>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</si>
  <si>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</si>
  <si>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</si>
  <si>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</si>
  <si>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</si>
  <si>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</si>
  <si>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</si>
  <si>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</si>
  <si>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</si>
  <si>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</si>
  <si>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</si>
  <si>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</si>
  <si>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</si>
  <si>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</si>
  <si>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</si>
  <si>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</si>
  <si>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</si>
  <si>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</si>
  <si>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</si>
  <si>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</si>
  <si>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</si>
  <si>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</si>
  <si>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</si>
  <si>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</si>
  <si>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</si>
  <si>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</si>
  <si>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</si>
  <si>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</si>
  <si>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</si>
  <si>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</si>
  <si>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</si>
  <si>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</si>
  <si>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</si>
  <si>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</si>
  <si>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</si>
  <si>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</si>
  <si>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</si>
  <si>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</si>
  <si>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</si>
  <si>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</si>
  <si>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</si>
  <si>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</si>
  <si>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</si>
  <si>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</si>
  <si>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</si>
  <si>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</si>
  <si>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</si>
  <si>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</si>
  <si>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</si>
  <si>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</si>
  <si>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</si>
  <si>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</si>
  <si>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</si>
  <si>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</si>
  <si>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</si>
  <si>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</si>
  <si>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</si>
  <si>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</si>
  <si>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</si>
  <si>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</si>
  <si>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</si>
  <si>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</si>
  <si>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</si>
  <si>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</si>
  <si>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</si>
  <si>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</si>
  <si>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</si>
  <si>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</si>
  <si>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</si>
  <si>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</si>
  <si>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</si>
  <si>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</si>
  <si>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</si>
  <si>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</si>
  <si>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</si>
  <si>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</si>
  <si>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</si>
  <si>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</si>
  <si>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</si>
  <si>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</si>
  <si>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</si>
  <si>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</si>
  <si>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</si>
  <si>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</si>
  <si>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</si>
  <si>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</si>
  <si>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</si>
  <si>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</si>
  <si>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</si>
  <si>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</si>
  <si>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</si>
  <si>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</si>
  <si>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</si>
  <si>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</si>
  <si>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</si>
  <si>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</si>
  <si>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</si>
  <si>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</si>
  <si>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</si>
  <si>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</si>
  <si>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</si>
  <si>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</si>
  <si>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</si>
  <si>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</si>
  <si>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</si>
  <si>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</si>
  <si>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</si>
  <si>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</si>
  <si>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</si>
  <si>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</si>
  <si>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</si>
  <si>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</si>
  <si>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</si>
  <si>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</si>
  <si>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</si>
  <si>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</si>
  <si>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</si>
  <si>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</si>
  <si>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</si>
  <si>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</si>
  <si>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</si>
  <si>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</si>
  <si>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</si>
  <si>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</si>
  <si>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</si>
  <si>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</si>
  <si>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</si>
  <si>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</si>
  <si>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</si>
  <si>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</si>
  <si>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</si>
  <si>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</si>
  <si>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</si>
  <si>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</si>
  <si>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</si>
  <si>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</si>
  <si>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</si>
  <si>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</si>
  <si>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</si>
  <si>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</si>
  <si>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</si>
  <si>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</si>
  <si>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</si>
  <si>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</si>
  <si>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</si>
  <si>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</si>
  <si>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</si>
  <si>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</si>
  <si>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</si>
  <si>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</si>
  <si>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</si>
  <si>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</si>
  <si>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</si>
  <si>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</si>
  <si>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</si>
  <si>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</si>
  <si>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</si>
  <si>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</si>
  <si>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</si>
  <si>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</si>
  <si>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</si>
  <si>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</si>
  <si>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</si>
  <si>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</si>
  <si>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</si>
  <si>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</si>
  <si>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</si>
  <si>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</si>
  <si>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</si>
  <si>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</si>
  <si>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</si>
  <si>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</si>
  <si>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</si>
  <si>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</si>
  <si>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</si>
  <si>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</si>
  <si>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</si>
  <si>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</si>
  <si>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</si>
  <si>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</si>
  <si>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</si>
  <si>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</si>
  <si>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</si>
  <si>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</si>
  <si>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</si>
  <si>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</si>
  <si>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</si>
  <si>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</si>
  <si>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</si>
  <si>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</si>
  <si>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</si>
  <si>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</si>
  <si>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</si>
  <si>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</si>
  <si>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</si>
  <si>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</si>
  <si>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</si>
  <si>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</si>
  <si>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</si>
  <si>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</si>
  <si>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</si>
  <si>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</si>
  <si>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</si>
  <si>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</si>
  <si>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</si>
  <si>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</si>
  <si>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</si>
  <si>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</si>
  <si>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</si>
  <si>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</si>
  <si>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</si>
  <si>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</si>
  <si>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</si>
  <si>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</si>
  <si>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</si>
  <si>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</si>
  <si>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</si>
  <si>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</si>
  <si>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</si>
  <si>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</si>
  <si>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</si>
  <si>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</si>
  <si>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</si>
  <si>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</si>
  <si>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</si>
  <si>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</si>
  <si>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</si>
  <si>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</si>
  <si>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</si>
  <si>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</si>
  <si>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</si>
  <si>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</si>
  <si>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</si>
  <si>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</si>
  <si>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</si>
  <si>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</si>
  <si>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</si>
  <si>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</si>
  <si>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</si>
  <si>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</si>
  <si>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</si>
  <si>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</si>
  <si>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</si>
  <si>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</si>
  <si>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</si>
  <si>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</si>
  <si>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</si>
  <si>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</si>
  <si>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</si>
  <si>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</si>
  <si>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</si>
  <si>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</si>
  <si>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</si>
  <si>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</si>
  <si>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</si>
  <si>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</si>
  <si>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</si>
  <si>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</si>
  <si>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</si>
  <si>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</si>
  <si>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</si>
  <si>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</si>
  <si>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</si>
  <si>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</si>
  <si>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</si>
  <si>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</si>
  <si>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</si>
  <si>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</si>
  <si>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</si>
  <si>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</si>
  <si>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</si>
  <si>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</si>
  <si>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</si>
  <si>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</si>
  <si>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</si>
  <si>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</si>
  <si>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</si>
  <si>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</si>
  <si>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</si>
  <si>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</si>
  <si>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</si>
  <si>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</si>
  <si>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</si>
  <si>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</si>
  <si>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</si>
  <si>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</si>
  <si>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</si>
  <si>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</si>
  <si>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</si>
  <si>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</si>
  <si>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</si>
  <si>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</si>
  <si>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</si>
  <si>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</si>
  <si>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</si>
  <si>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</si>
  <si>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</si>
  <si>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</si>
  <si>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</si>
  <si>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</si>
  <si>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</si>
  <si>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</si>
  <si>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</si>
  <si>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</si>
  <si>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</si>
  <si>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</si>
  <si>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</si>
  <si>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</si>
  <si>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</si>
  <si>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</si>
  <si>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</si>
  <si>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</si>
  <si>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</si>
  <si>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</si>
  <si>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</si>
  <si>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</si>
  <si>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</si>
  <si>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</si>
  <si>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</si>
  <si>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</si>
  <si>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</si>
  <si>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</si>
  <si>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</si>
  <si>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</si>
  <si>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</si>
  <si>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</si>
  <si>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</si>
  <si>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</si>
  <si>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</si>
  <si>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</si>
  <si>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</si>
  <si>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</si>
  <si>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</si>
  <si>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</si>
  <si>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</si>
  <si>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</si>
  <si>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</si>
  <si>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</si>
  <si>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</si>
  <si>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</si>
  <si>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</si>
  <si>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</si>
  <si>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</si>
  <si>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</si>
  <si>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</si>
  <si>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</si>
  <si>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</si>
  <si>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</si>
  <si>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</si>
  <si>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</si>
  <si>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</si>
  <si>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</si>
  <si>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</si>
  <si>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</si>
  <si>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</si>
  <si>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</si>
  <si>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</si>
  <si>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</si>
  <si>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</si>
  <si>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</si>
  <si>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</si>
  <si>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</si>
  <si>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</si>
  <si>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</si>
  <si>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</si>
  <si>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</si>
  <si>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</si>
  <si>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</si>
  <si>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</si>
  <si>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</si>
  <si>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</si>
  <si>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</si>
  <si>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</si>
  <si>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</si>
  <si>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</si>
  <si>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</si>
  <si>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</si>
  <si>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</si>
  <si>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</si>
  <si>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</si>
  <si>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</si>
  <si>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</si>
  <si>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</si>
  <si>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</si>
  <si>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</si>
  <si>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</si>
  <si>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</si>
  <si>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</si>
  <si>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</si>
  <si>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</si>
  <si>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</si>
  <si>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</si>
  <si>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</si>
  <si>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</si>
  <si>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</si>
  <si>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</si>
  <si>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</si>
  <si>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</si>
  <si>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</si>
  <si>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</si>
  <si>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</si>
  <si>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</si>
  <si>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</si>
  <si>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</si>
  <si>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</si>
  <si>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</si>
  <si>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</si>
  <si>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</si>
  <si>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</si>
  <si>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</si>
  <si>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</si>
  <si>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</si>
  <si>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</si>
  <si>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</si>
  <si>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</si>
  <si>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</si>
  <si>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</si>
  <si>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</si>
  <si>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</si>
  <si>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</si>
  <si>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</si>
  <si>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</si>
  <si>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</si>
  <si>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</si>
  <si>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</si>
  <si>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</si>
  <si>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</si>
  <si>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</si>
  <si>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</si>
  <si>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</si>
  <si>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</si>
  <si>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</si>
  <si>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</si>
  <si>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</si>
  <si>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</si>
  <si>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</si>
  <si>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</si>
  <si>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</si>
  <si>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</si>
  <si>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</si>
  <si>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</si>
  <si>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</si>
  <si>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</si>
  <si>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</si>
  <si>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</si>
  <si>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</si>
  <si>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</si>
  <si>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</si>
  <si>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</si>
  <si>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</si>
  <si>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</si>
  <si>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</si>
  <si>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</si>
  <si>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</si>
  <si>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</si>
  <si>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</si>
  <si>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</si>
  <si>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</si>
  <si>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</si>
  <si>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</si>
  <si>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</si>
  <si>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</si>
  <si>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</si>
  <si>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</si>
  <si>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</si>
  <si>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</si>
  <si>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</si>
  <si>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</si>
  <si>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</si>
  <si>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</si>
  <si>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</si>
  <si>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</si>
  <si>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</si>
  <si>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</si>
  <si>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</si>
  <si>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</si>
  <si>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</si>
  <si>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</si>
  <si>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</si>
  <si>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</si>
  <si>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SCHEDULE OF THE COUNTY'S/MUNICIPALITY'S PROPORTIONATE SHARE OF THE NET PENSION LIABILITY (ASSET)</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</si>
  <si>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</si>
  <si>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</si>
  <si>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</si>
  <si>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</si>
  <si>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</si>
  <si>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</si>
  <si>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</si>
  <si>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</si>
  <si>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</si>
  <si>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</si>
  <si>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 xml:space="preserve">Contributions in relation to the </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</si>
  <si>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</si>
  <si>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</si>
  <si>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</si>
  <si>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</si>
  <si>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</si>
  <si>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</si>
  <si>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</si>
  <si>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County's/Municipality's proportion of the net pension</t>
  </si>
  <si>
    <t xml:space="preserve">County's/Municipality's proportionate share of net </t>
  </si>
  <si>
    <t>County's/Municipality's proportionate share of the net</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</si>
  <si>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</si>
  <si>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</si>
  <si>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</si>
  <si>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</si>
  <si>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</si>
  <si>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</si>
  <si>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</si>
  <si>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</si>
  <si>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</si>
  <si>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</si>
  <si>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</si>
  <si>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</si>
  <si>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</si>
  <si>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</si>
  <si>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</si>
  <si>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</si>
  <si>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</si>
  <si>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</si>
  <si>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</si>
  <si>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</si>
  <si>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</si>
  <si>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</si>
  <si>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</si>
  <si>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</si>
  <si>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</si>
  <si>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</si>
  <si>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</si>
  <si>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</si>
  <si>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</si>
  <si>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</si>
  <si>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REQUIRED SUPPLEMENTARY INFORMATION</t>
  </si>
  <si>
    <r>
      <t xml:space="preserve">________________________COUNTY  </t>
    </r>
    <r>
      <rPr>
        <b/>
        <i/>
        <sz val="12"/>
        <color theme="1"/>
        <rFont val="Arial"/>
        <family val="2"/>
      </rPr>
      <t xml:space="preserve">OR  </t>
    </r>
    <r>
      <rPr>
        <b/>
        <sz val="12"/>
        <color theme="1"/>
        <rFont val="Arial"/>
        <family val="2"/>
      </rPr>
      <t>MUNICIPALITY</t>
    </r>
    <r>
      <rPr>
        <b/>
        <i/>
        <sz val="12"/>
        <color theme="1"/>
        <rFont val="Arial"/>
        <family val="2"/>
      </rPr>
      <t xml:space="preserve"> </t>
    </r>
    <r>
      <rPr>
        <b/>
        <sz val="12"/>
        <color theme="1"/>
        <rFont val="Arial"/>
        <family val="2"/>
      </rPr>
      <t>OF __________________________</t>
    </r>
  </si>
  <si>
    <t>will present information for those years for which information is available.</t>
  </si>
  <si>
    <r>
      <rPr>
        <b/>
        <sz val="11"/>
        <color theme="1"/>
        <rFont val="Arial"/>
        <family val="2"/>
      </rPr>
      <t xml:space="preserve">* </t>
    </r>
    <r>
      <rPr>
        <sz val="11"/>
        <color theme="1"/>
        <rFont val="Arial"/>
        <family val="2"/>
      </rPr>
      <t xml:space="preserve"> The amounts presented for each year were determined as of the measurement date of the collective net pension liability (asset) which is 6/30.  Until a full 10-year trend is compiled, the County/Municipality </t>
    </r>
  </si>
  <si>
    <t xml:space="preserve">* Last 10 Years </t>
  </si>
  <si>
    <t>* Until a full 10-year trend is compiled, the County/Municipality will present information for those years for which information is available.</t>
  </si>
  <si>
    <r>
      <t xml:space="preserve">__________________COUNTY  </t>
    </r>
    <r>
      <rPr>
        <b/>
        <i/>
        <sz val="12"/>
        <color theme="1"/>
        <rFont val="Arial"/>
        <family val="2"/>
      </rPr>
      <t xml:space="preserve">OR  </t>
    </r>
    <r>
      <rPr>
        <b/>
        <sz val="12"/>
        <color theme="1"/>
        <rFont val="Arial"/>
        <family val="2"/>
      </rPr>
      <t>MUNICIPALITY</t>
    </r>
    <r>
      <rPr>
        <b/>
        <i/>
        <sz val="12"/>
        <color theme="1"/>
        <rFont val="Arial"/>
        <family val="2"/>
      </rPr>
      <t xml:space="preserve"> </t>
    </r>
    <r>
      <rPr>
        <b/>
        <sz val="12"/>
        <color theme="1"/>
        <rFont val="Arial"/>
        <family val="2"/>
      </rPr>
      <t>OF ________________________</t>
    </r>
  </si>
  <si>
    <t xml:space="preserve">Notes to Required Supplementary Information </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</si>
  <si>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</si>
  <si>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</si>
  <si>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</si>
  <si>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</si>
  <si>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</si>
  <si>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</si>
  <si>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</si>
  <si>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</si>
  <si>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</si>
  <si>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</si>
  <si>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</si>
  <si>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</si>
  <si>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</si>
  <si>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</si>
  <si>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</si>
  <si>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</si>
  <si>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</si>
  <si>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</si>
  <si>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</si>
  <si>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</si>
  <si>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</si>
  <si>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</si>
  <si>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</si>
  <si>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County's/Municipality's covered payroll</t>
  </si>
  <si>
    <t>of its covered payroll</t>
  </si>
  <si>
    <t>SCHEDULE OF THE COUNTY/MUNICIPALITY PENSION CONTRIBUTIONS</t>
  </si>
  <si>
    <t>covered payroll</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</si>
  <si>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</si>
  <si>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</si>
  <si>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</si>
  <si>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</si>
  <si>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</si>
  <si>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</si>
  <si>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</si>
  <si>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</si>
  <si>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</si>
  <si>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</si>
  <si>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</si>
  <si>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</si>
  <si>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</si>
  <si>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</si>
  <si>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</si>
  <si>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</si>
  <si>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</si>
  <si>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</si>
  <si>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at 6/30/22</t>
  </si>
  <si>
    <t>2022 Employer Share Retirement</t>
  </si>
  <si>
    <t>2022 Covered Payroll</t>
  </si>
  <si>
    <r>
      <t>Deferred Outflows of Resources--</t>
    </r>
    <r>
      <rPr>
        <sz val="10"/>
        <color theme="1"/>
        <rFont val="Arial"/>
        <family val="2"/>
      </rPr>
      <t>Employer contributions 7/1/22 to 12/31/22</t>
    </r>
  </si>
  <si>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</si>
  <si>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</si>
  <si>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</si>
  <si>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</si>
  <si>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</si>
  <si>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</si>
  <si>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</si>
  <si>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</si>
  <si>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</si>
  <si>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</si>
  <si>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</si>
  <si>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</si>
  <si>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</si>
  <si>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</si>
  <si>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</si>
  <si>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</si>
  <si>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</si>
  <si>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</si>
  <si>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</si>
  <si>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</si>
  <si>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</si>
  <si>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</si>
  <si>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</si>
  <si>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</si>
  <si>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</si>
  <si>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</si>
  <si>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</si>
  <si>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GASB 68: PENSION  FOR EMPLOYERS- DECEMBER 31, 2023 YEAR-END CALCULATIONS</t>
  </si>
  <si>
    <t>This worksheet is intended to assist Local Gov'ts in the proper accounting for GASB 68 Pension for Employers in CY23 (implementation in CY15).</t>
  </si>
  <si>
    <t>at 6/30/23</t>
  </si>
  <si>
    <t>In addition, the Employers proportionate share of collective pension expense (reduction of pension expense) for the measurement period ending June 30 2023 is:</t>
  </si>
  <si>
    <t xml:space="preserve">Amounts--June 30, 2023.   The amortization period is based on the remaining expected service lives of all employees that are </t>
  </si>
  <si>
    <r>
      <t xml:space="preserve">provided with pensions through SDRS  = </t>
    </r>
    <r>
      <rPr>
        <b/>
        <i/>
        <sz val="12"/>
        <color theme="1"/>
        <rFont val="Arial"/>
        <family val="2"/>
      </rPr>
      <t>4.33 years</t>
    </r>
    <r>
      <rPr>
        <i/>
        <sz val="12"/>
        <color theme="1"/>
        <rFont val="Arial"/>
        <family val="2"/>
      </rPr>
      <t xml:space="preserve">.  </t>
    </r>
  </si>
  <si>
    <t xml:space="preserve">● July 1, 2023 to December 31, 2023 = </t>
  </si>
  <si>
    <t xml:space="preserve">●  January 1, 2023 to June 30, 2023 = </t>
  </si>
  <si>
    <t xml:space="preserve">●  July 1, 2022 to December 31, 2022 = </t>
  </si>
  <si>
    <t>reported as a deferred outflow of resources at 12/31/22</t>
  </si>
  <si>
    <t>2023 Employer Share Retirement</t>
  </si>
  <si>
    <t>2023 Covered Payroll</t>
  </si>
  <si>
    <t xml:space="preserve">  Prepare Journal Entries for Employer's Fiscal Year Ending 12/31/23</t>
  </si>
  <si>
    <r>
      <t>Employer Contribution Expense--</t>
    </r>
    <r>
      <rPr>
        <sz val="10"/>
        <color theme="1"/>
        <rFont val="Arial"/>
        <family val="2"/>
      </rPr>
      <t>Employer contributions 7/1/22 to 12/31/22</t>
    </r>
  </si>
  <si>
    <r>
      <t xml:space="preserve">     Deferred Outflows of Resources--</t>
    </r>
    <r>
      <rPr>
        <sz val="10"/>
        <color theme="1"/>
        <rFont val="Arial"/>
        <family val="2"/>
      </rPr>
      <t>Employer contributions 7/1/22 to 12/31/22</t>
    </r>
  </si>
  <si>
    <r>
      <t>Deferred Outflows of Resources--</t>
    </r>
    <r>
      <rPr>
        <sz val="10"/>
        <color theme="1"/>
        <rFont val="Arial"/>
        <family val="2"/>
      </rPr>
      <t>Employer contributions 7/1/23 to 12/31/23</t>
    </r>
  </si>
  <si>
    <r>
      <t xml:space="preserve">      Employer Contribution Expense--</t>
    </r>
    <r>
      <rPr>
        <sz val="10"/>
        <color theme="1"/>
        <rFont val="Arial"/>
        <family val="2"/>
      </rPr>
      <t>Employer contributions 7/1/23 to 12/31/23</t>
    </r>
  </si>
  <si>
    <t>The June 30, 2023 Actuarial Valuation reflects no changes to the plan provisions or actuarial methods and
one change to the actuarial assumptions from the June 30, 2022 Actuarial Valuation.</t>
  </si>
  <si>
    <t>During the 2023 Legislative Session no significant SDRS benefit changes were made and emergency medical services personnel prospectively became Class B Public Safety members.</t>
  </si>
  <si>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</si>
  <si>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</si>
  <si>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As of June 30, 2022, the FVFR assuming the long-term COLA is equal to the baseline COLA assumption (2.25%) was less than 100% and the July 2023 SDRS COLA was limited to a restricted maximum of 2.10%. For the June 30, 2022 Actuarial Valuation, future COLAs were assumed to equal the restricted maximum COLA assumption of 2.10%.</t>
  </si>
  <si>
    <t>As of June 30, 2023, the FVFR assuming future COLAs equal to the baseline COLA assumption of 2.25% is again less than 100% and the July 2024 SDRS COLA is limited to a restricted maximum of 1.91%. The July 2024 SDRS COLA will equal inflation, between 0% and 1.91%. For this June 30, 2023 Actuarial Valuation, future COLAs were assumed to equal the restricted maximum COLA of 1.91%.</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</si>
  <si>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</si>
  <si>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</si>
  <si>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</si>
  <si>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disability, and survivor benefits.  The right to receive retirement </t>
  </si>
  <si>
    <t xml:space="preserve">employees of the State of South Dakota and its political subdivisions.  The SDRS provide retirement, </t>
  </si>
  <si>
    <t xml:space="preserve">benefits vests after three years of credited service.  Authority for </t>
  </si>
  <si>
    <t>ended December 31, 2023, 2022 and 2021, equal to required contributions each year, were as follows:</t>
  </si>
  <si>
    <t xml:space="preserve">At June 30, 2023, SDRS is 100.1% funded and accordingly has a net pension asset.  The </t>
  </si>
  <si>
    <t>System, for the County/Municipality as of the measurement period ending June 30, 2023 and reported</t>
  </si>
  <si>
    <t>by the County/Municipality as of December 31, 2023 are as follows:</t>
  </si>
  <si>
    <t xml:space="preserve">At December 31, 2023, the County/Municipality reported a liability (asset) of </t>
  </si>
  <si>
    <t>as of June 30 ,2023 and the total pension liability (asset) used to calculate the net pension liability</t>
  </si>
  <si>
    <t>pension plan relative to the contributions of all participating entities.  At June 30, 2023 the</t>
  </si>
  <si>
    <t>from its proportion measured as of June 30, 2022.</t>
  </si>
  <si>
    <t>For the year ended December 31, 2023, the County/Municipality recognized pension expense (reduction of pension</t>
  </si>
  <si>
    <t>At December 31, 2023 the County/Municipality reported deferred outflows or resources</t>
  </si>
  <si>
    <t>net pension liability in the year ending December 31, 2024.  Other amounts reported as deferred</t>
  </si>
  <si>
    <t xml:space="preserve">The total pension liability (asset) in the June 30, 2023 actuarial valuation was determined using the </t>
  </si>
  <si>
    <t xml:space="preserve">  1.91%</t>
  </si>
  <si>
    <t xml:space="preserve">The actuarial assumptions used in the June 30, 2023 valuation were based on the results of an </t>
  </si>
  <si>
    <t xml:space="preserve">actuarial experience study for the period of July 1, 2016 to June 30, 2022.   </t>
  </si>
  <si>
    <t>allocation as of June 30, 2023 (see the discussion of the pension plan's investment policy) are</t>
  </si>
  <si>
    <t>Public Equity</t>
  </si>
  <si>
    <t>Investment Grade Debt</t>
  </si>
  <si>
    <t>High Yield Debt</t>
  </si>
  <si>
    <t xml:space="preserve">Dakota Retirement System (SDRS).   SDRS is a hybrid defined benefit plan designed with several defined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</si>
</sst>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000000%"/>
    <numFmt numFmtId="167" formatCode="_(&quot;$&quot;* #,##0_);_(&quot;$&quot;* \(#,##0\);_(&quot;$&quot;* &quot;-&quot;??_);_(@_)"/>
    <numFmt numFmtId="168" formatCode="0.0%"/>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31">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7" fillId="0" borderId="1" xfId="0" applyFont="1" applyBorder="1" applyAlignment="1">
      <alignment horizontal="center"/>
    </xf>
    <xf numFmtId="0" fontId="37" fillId="0" borderId="0" xfId="0" applyFont="1" applyBorder="1" applyAlignment="1">
      <alignment horizontal="center"/>
    </xf>
    <xf numFmtId="9" fontId="37" fillId="0" borderId="0" xfId="3" applyFont="1" applyAlignment="1">
      <alignment horizontal="right"/>
    </xf>
    <xf numFmtId="167" fontId="37" fillId="0" borderId="0" xfId="2" applyNumberFormat="1" applyFont="1"/>
    <xf numFmtId="0" fontId="35" fillId="0" borderId="0" xfId="0" applyFont="1"/>
    <xf numFmtId="10" fontId="37" fillId="0" borderId="0" xfId="3" applyNumberFormat="1" applyFont="1" applyAlignment="1">
      <alignment horizontal="right"/>
    </xf>
    <xf numFmtId="0" fontId="37" fillId="0" borderId="0" xfId="0" applyFont="1" applyAlignment="1">
      <alignment horizontal="right"/>
    </xf>
    <xf numFmtId="0" fontId="31" fillId="0" borderId="0" xfId="0" applyFont="1" applyFill="1" applyAlignment="1">
      <alignment horizontal="left" wrapText="1"/>
    </xf>
    <xf numFmtId="167" fontId="37" fillId="0" borderId="0" xfId="2" applyNumberFormat="1" applyFont="1" applyAlignment="1">
      <alignment horizontal="right"/>
    </xf>
    <xf numFmtId="167" fontId="37" fillId="0" borderId="1" xfId="2" applyNumberFormat="1" applyFont="1" applyBorder="1"/>
    <xf numFmtId="167" fontId="37" fillId="0" borderId="0" xfId="0" applyNumberFormat="1" applyFont="1"/>
    <xf numFmtId="167" fontId="37" fillId="0" borderId="16" xfId="0" applyNumberFormat="1" applyFont="1" applyBorder="1"/>
    <xf numFmtId="167" fontId="38" fillId="0" borderId="0" xfId="2" applyNumberFormat="1" applyFont="1"/>
    <xf numFmtId="0" fontId="38" fillId="0" borderId="0" xfId="0" applyFont="1"/>
    <xf numFmtId="166" fontId="38" fillId="0" borderId="0" xfId="3" applyNumberFormat="1" applyFont="1" applyAlignment="1">
      <alignment horizontal="right"/>
    </xf>
    <xf numFmtId="44" fontId="38" fillId="0" borderId="0" xfId="2" applyNumberFormat="1" applyFont="1"/>
    <xf numFmtId="0" fontId="38" fillId="0" borderId="0" xfId="0" applyFont="1" applyAlignment="1">
      <alignment horizontal="right"/>
    </xf>
    <xf numFmtId="167" fontId="38" fillId="0" borderId="0" xfId="0"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164" fontId="27" fillId="0" borderId="0" xfId="3" applyNumberFormat="1" applyFont="1"/>
    <xf numFmtId="166" fontId="27" fillId="0" borderId="0" xfId="3" applyNumberFormat="1" applyFont="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8"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168" fontId="37" fillId="0" borderId="0" xfId="0" applyNumberFormat="1" applyFont="1" applyAlignment="1">
      <alignment horizontal="right"/>
    </xf>
    <xf numFmtId="0" fontId="5" fillId="0" borderId="6" xfId="0" applyFont="1" applyBorder="1" applyAlignment="1">
      <alignment horizontal="left"/>
    </xf>
    <xf numFmtId="0" fontId="5" fillId="0" borderId="0" xfId="0" applyFont="1"/>
    <xf numFmtId="0" fontId="37" fillId="0" borderId="0" xfId="0" applyFont="1" applyAlignment="1">
      <alignment horizontal="center"/>
    </xf>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44" fontId="38" fillId="0" borderId="0" xfId="0" applyNumberFormat="1" applyFont="1"/>
    <xf numFmtId="44" fontId="37" fillId="0" borderId="0" xfId="0" applyNumberFormat="1" applyFont="1"/>
    <xf numFmtId="44" fontId="38" fillId="0" borderId="0" xfId="2" applyNumberFormat="1" applyFont="1" applyAlignment="1">
      <alignment horizontal="right"/>
    </xf>
    <xf numFmtId="44" fontId="37" fillId="0" borderId="0" xfId="2" applyNumberFormat="1" applyFont="1" applyAlignment="1">
      <alignment horizontal="right"/>
    </xf>
    <xf numFmtId="44" fontId="37" fillId="0" borderId="0" xfId="2" applyNumberFormat="1" applyFont="1"/>
    <xf numFmtId="44" fontId="38" fillId="0" borderId="1" xfId="2" applyNumberFormat="1" applyFont="1" applyBorder="1"/>
    <xf numFmtId="44" fontId="38" fillId="0" borderId="16" xfId="0" applyNumberFormat="1" applyFont="1" applyBorder="1"/>
    <xf numFmtId="44" fontId="37" fillId="0" borderId="16" xfId="0" applyNumberFormat="1" applyFont="1" applyBorder="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37" fillId="0" borderId="0" xfId="0" applyFont="1" applyAlignment="1">
      <alignment horizontal="center"/>
    </xf>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37" fillId="0" borderId="0" xfId="0" applyFont="1" applyAlignment="1">
      <alignment horizontal="center"/>
    </xf>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37" fillId="0" borderId="0" xfId="0" applyFont="1" applyAlignment="1">
      <alignment horizontal="center"/>
    </xf>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37" fillId="0" borderId="0" xfId="0" applyFont="1" applyAlignment="1">
      <alignment horizontal="center"/>
    </xf>
    <xf numFmtId="0" fontId="31" fillId="0" borderId="0" xfId="0" applyFont="1" applyFill="1" applyBorder="1" applyAlignment="1">
      <alignment horizontal="center"/>
    </xf>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7" fillId="0" borderId="0" xfId="0" applyFont="1" applyAlignment="1">
      <alignment horizontal="center"/>
    </xf>
    <xf numFmtId="0" fontId="34" fillId="0" borderId="0" xfId="0" applyFont="1" applyFill="1" applyBorder="1"/>
    <xf numFmtId="44" fontId="27" fillId="0" borderId="0" xfId="2" applyFont="1" applyFill="1"/>
    <xf numFmtId="168"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31" fillId="0" borderId="7" xfId="0" applyFont="1" applyFill="1" applyBorder="1" applyAlignment="1">
      <alignment horizontal="center"/>
    </xf>
    <xf numFmtId="0" fontId="5" fillId="0" borderId="6" xfId="0" applyFont="1" applyBorder="1"/>
    <xf numFmtId="0" fontId="5" fillId="0" borderId="0"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36" fillId="0" borderId="9" xfId="0" applyFont="1" applyBorder="1" applyAlignment="1">
      <alignment horizontal="right"/>
    </xf>
    <xf numFmtId="0" fontId="5" fillId="0" borderId="0" xfId="0" applyFont="1"/>
    <xf numFmtId="0" fontId="12" fillId="0" borderId="0" xfId="0" applyFont="1"/>
    <xf numFmtId="15" fontId="5" fillId="0" borderId="0" xfId="0" applyNumberFormat="1" applyFont="1" applyAlignment="1">
      <alignment horizontal="right"/>
    </xf>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1"/>
  <sheetViews>
    <sheetView zoomScaleNormal="100" zoomScaleSheetLayoutView="100" workbookViewId="0">
      <pane xSplit="1" topLeftCell="B1" activePane="topRight" state="frozen"/>
      <selection pane="topRight" activeCell="A4" sqref="A4"/>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5" width="11.109375" style="96" bestFit="1" customWidth="1"/>
    <col min="16" max="16" width="10.77734375" style="96" bestFit="1" customWidth="1"/>
    <col min="17" max="17" width="9.109375" style="96"/>
    <col min="18" max="18" width="2.6640625" style="96" customWidth="1"/>
    <col min="19" max="16384" width="9.109375" style="96"/>
  </cols>
  <sheetData>
    <row r="1" spans="1:18" x14ac:dyDescent="0.25">
      <c r="A1" s="252" t="s">
        <v>788</v>
      </c>
    </row>
    <row r="2" spans="1:18" x14ac:dyDescent="0.25">
      <c r="A2" s="253" t="s">
        <v>789</v>
      </c>
    </row>
    <row r="3" spans="1:18" ht="14.4" thickBot="1" x14ac:dyDescent="0.3">
      <c r="A3" s="254"/>
    </row>
    <row r="4" spans="1:18" ht="10.5" customHeight="1" x14ac:dyDescent="0.25"/>
    <row r="5" spans="1:18" s="95" customFormat="1" ht="21.6" thickBot="1" x14ac:dyDescent="0.45">
      <c r="A5" s="277" t="s">
        <v>787</v>
      </c>
      <c r="B5" s="378"/>
      <c r="C5" s="378"/>
      <c r="D5" s="378"/>
      <c r="E5" s="378"/>
      <c r="F5" s="378"/>
      <c r="G5" s="378"/>
      <c r="H5" s="378"/>
      <c r="I5" s="378"/>
      <c r="J5" s="378"/>
      <c r="K5" s="378"/>
      <c r="L5" s="378"/>
      <c r="M5" s="378"/>
      <c r="N5" s="378"/>
      <c r="O5" s="378"/>
      <c r="P5" s="378"/>
    </row>
    <row r="6" spans="1:18" x14ac:dyDescent="0.25">
      <c r="A6" s="296" t="s">
        <v>806</v>
      </c>
      <c r="B6" s="268"/>
      <c r="C6" s="268"/>
      <c r="D6" s="268"/>
      <c r="E6" s="268"/>
      <c r="F6" s="268"/>
      <c r="G6" s="268"/>
      <c r="H6" s="268"/>
      <c r="I6" s="268"/>
      <c r="J6" s="268"/>
      <c r="K6" s="268"/>
      <c r="L6" s="268"/>
      <c r="M6" s="268"/>
      <c r="N6" s="268"/>
      <c r="O6" s="268"/>
      <c r="P6" s="268"/>
      <c r="Q6" s="268"/>
      <c r="R6" s="271"/>
    </row>
    <row r="7" spans="1:18" x14ac:dyDescent="0.25">
      <c r="A7" s="275"/>
      <c r="B7" s="273" t="s">
        <v>202</v>
      </c>
      <c r="C7" s="255"/>
      <c r="D7" s="255"/>
      <c r="E7" s="255"/>
      <c r="F7" s="255"/>
      <c r="G7" s="255"/>
      <c r="H7" s="255"/>
      <c r="I7" s="255"/>
      <c r="J7" s="255"/>
      <c r="K7" s="255"/>
      <c r="L7" s="255"/>
      <c r="M7" s="255"/>
      <c r="N7" s="255"/>
      <c r="O7" s="255"/>
      <c r="P7" s="255"/>
      <c r="Q7" s="255"/>
      <c r="R7" s="274"/>
    </row>
    <row r="8" spans="1:18" ht="21" x14ac:dyDescent="0.4">
      <c r="A8" s="272"/>
      <c r="B8" s="273" t="s">
        <v>802</v>
      </c>
      <c r="C8" s="255"/>
      <c r="D8" s="382" t="s">
        <v>123</v>
      </c>
      <c r="E8" s="382"/>
      <c r="F8" s="382"/>
      <c r="G8" s="382"/>
      <c r="H8" s="382"/>
      <c r="I8" s="382"/>
      <c r="J8" s="382"/>
      <c r="K8" s="382"/>
      <c r="L8" s="382"/>
      <c r="M8" s="382"/>
      <c r="N8" s="382"/>
      <c r="O8" s="382"/>
      <c r="P8" s="382"/>
      <c r="Q8" s="382"/>
      <c r="R8" s="383"/>
    </row>
    <row r="9" spans="1:18" x14ac:dyDescent="0.25">
      <c r="A9" s="275" t="s">
        <v>203</v>
      </c>
      <c r="B9" s="368" t="s">
        <v>120</v>
      </c>
      <c r="C9" s="368" t="s">
        <v>155</v>
      </c>
      <c r="D9" s="368"/>
      <c r="E9" s="368"/>
      <c r="F9" s="368"/>
      <c r="G9" s="368"/>
      <c r="H9" s="368"/>
      <c r="I9" s="368"/>
      <c r="J9" s="368"/>
      <c r="K9" s="255"/>
      <c r="L9" s="255"/>
      <c r="M9" s="255"/>
      <c r="N9" s="255"/>
      <c r="O9" s="255"/>
      <c r="P9" s="255"/>
      <c r="Q9" s="255"/>
      <c r="R9" s="274"/>
    </row>
    <row r="10" spans="1:18" x14ac:dyDescent="0.25">
      <c r="A10" s="276" t="s">
        <v>204</v>
      </c>
      <c r="B10" s="368" t="s">
        <v>803</v>
      </c>
      <c r="C10" s="368" t="s">
        <v>156</v>
      </c>
      <c r="D10" s="277">
        <v>2014</v>
      </c>
      <c r="E10" s="277">
        <v>2015</v>
      </c>
      <c r="F10" s="277">
        <v>2016</v>
      </c>
      <c r="G10" s="277">
        <v>2017</v>
      </c>
      <c r="H10" s="277">
        <v>2018</v>
      </c>
      <c r="I10" s="277">
        <v>2019</v>
      </c>
      <c r="J10" s="277">
        <v>2020</v>
      </c>
      <c r="K10" s="277">
        <v>2021</v>
      </c>
      <c r="L10" s="277">
        <v>2022</v>
      </c>
      <c r="M10" s="277">
        <v>2023</v>
      </c>
      <c r="N10" s="277">
        <v>2024</v>
      </c>
      <c r="O10" s="277">
        <v>2025</v>
      </c>
      <c r="P10" s="277">
        <v>2026</v>
      </c>
      <c r="Q10" s="277">
        <v>2027</v>
      </c>
      <c r="R10" s="274"/>
    </row>
    <row r="11" spans="1:18" x14ac:dyDescent="0.25">
      <c r="A11" s="278">
        <v>41820</v>
      </c>
      <c r="B11" s="281">
        <v>0</v>
      </c>
      <c r="C11" s="293"/>
      <c r="D11" s="281">
        <f>IF($C11&gt;0,ROUND($B11/$C11,0),0)</f>
        <v>0</v>
      </c>
      <c r="E11" s="281">
        <f>IF($C$11&gt;2,ROUND($B$11/$C$11,0),$B$11-SUM(D11:D11))</f>
        <v>0</v>
      </c>
      <c r="F11" s="281">
        <f>IF($C11&gt;3,ROUND($B11/$C11,0),$B11-SUM(D11:E11))</f>
        <v>0</v>
      </c>
      <c r="G11" s="281">
        <f>IF($C11&gt;4,ROUND($B11/$C11,0),$B11-SUM(D11:F11))</f>
        <v>0</v>
      </c>
      <c r="H11" s="281">
        <f>IF($C11&gt;5,ROUND($B11/$C11,0),$B11-SUM(D11:G11))</f>
        <v>0</v>
      </c>
      <c r="I11" s="281">
        <f>IF($C11&gt;6,ROUND($B11/$C11,0),$B11-SUM(D11:H11))</f>
        <v>0</v>
      </c>
      <c r="J11" s="255"/>
      <c r="K11" s="255"/>
      <c r="L11" s="255"/>
      <c r="M11" s="255"/>
      <c r="N11" s="255"/>
      <c r="O11" s="255"/>
      <c r="P11" s="255"/>
      <c r="Q11" s="255"/>
      <c r="R11" s="274"/>
    </row>
    <row r="12" spans="1:18" x14ac:dyDescent="0.25">
      <c r="A12" s="278">
        <v>42185</v>
      </c>
      <c r="B12" s="294">
        <v>1062.45</v>
      </c>
      <c r="C12" s="293">
        <v>4.4400000000000004</v>
      </c>
      <c r="D12" s="255"/>
      <c r="E12" s="280">
        <f>IF($C12&gt;2,ROUND($B12/$C12,2),$B12-SUM(C12:D12))</f>
        <v>239.29</v>
      </c>
      <c r="F12" s="280">
        <f>IF($C12&gt;2,ROUND($B12/$C12,2),$B12-SUM(D12:E12))</f>
        <v>239.29</v>
      </c>
      <c r="G12" s="280">
        <f>IF($C12&gt;3,ROUND($B12/$C12,2),$B12-SUM(D12:F12))</f>
        <v>239.29</v>
      </c>
      <c r="H12" s="280">
        <f>IF($C12&gt;4,ROUND($B12/$C12,2),$B12-SUM(D12:G12))</f>
        <v>239.29</v>
      </c>
      <c r="I12" s="280">
        <f>IF($C12&gt;5,ROUND($B12/$C12,2),$B12-SUM(E12:H12))</f>
        <v>105.29000000000008</v>
      </c>
      <c r="J12" s="280">
        <f>IF($C12&gt;6,ROUND($B12/$C12,0),$B12-SUM(E12:I12))</f>
        <v>0</v>
      </c>
      <c r="K12" s="255"/>
      <c r="L12" s="255"/>
      <c r="M12" s="255"/>
      <c r="N12" s="255"/>
      <c r="O12" s="255"/>
      <c r="P12" s="255"/>
      <c r="Q12" s="255"/>
      <c r="R12" s="274"/>
    </row>
    <row r="13" spans="1:18" x14ac:dyDescent="0.25">
      <c r="A13" s="278">
        <v>42551</v>
      </c>
      <c r="B13" s="294">
        <v>-1014.46</v>
      </c>
      <c r="C13" s="293">
        <v>4.38</v>
      </c>
      <c r="D13" s="255"/>
      <c r="E13" s="280"/>
      <c r="F13" s="280">
        <f>IF($C13&gt;2,ROUND($B13/$C13,2),$B13-SUM(D13:E13))</f>
        <v>-231.61</v>
      </c>
      <c r="G13" s="280">
        <f>IF($C13&gt;2,ROUND($B13/$C13,2),$B13-SUM(D13:F13))</f>
        <v>-231.61</v>
      </c>
      <c r="H13" s="280">
        <f>IF($C13&gt;3,ROUND($B13/$C13,2),$B13-SUM(D13:G13))</f>
        <v>-231.61</v>
      </c>
      <c r="I13" s="280">
        <f>IF($C13&gt;4,ROUND($B13/$C13,2),$B13-SUM(E13:H13))</f>
        <v>-231.61</v>
      </c>
      <c r="J13" s="280">
        <f>IF($C13&gt;5,ROUND($B13/$C13,2),$B13-SUM(F13:I13))</f>
        <v>-88.019999999999982</v>
      </c>
      <c r="K13" s="255"/>
      <c r="L13" s="255"/>
      <c r="M13" s="255"/>
      <c r="N13" s="255"/>
      <c r="O13" s="255"/>
      <c r="P13" s="255"/>
      <c r="Q13" s="255"/>
      <c r="R13" s="274"/>
    </row>
    <row r="14" spans="1:18" x14ac:dyDescent="0.25">
      <c r="A14" s="278">
        <v>42916</v>
      </c>
      <c r="B14" s="309">
        <v>12053.06</v>
      </c>
      <c r="C14" s="293">
        <v>4.46</v>
      </c>
      <c r="D14" s="255"/>
      <c r="E14" s="282"/>
      <c r="F14" s="282"/>
      <c r="G14" s="280">
        <f>IF($C14&gt;2,ROUND($B14/$C14,2),$B14-SUM(E14:F14))</f>
        <v>2702.48</v>
      </c>
      <c r="H14" s="280">
        <f>IF($C14&gt;2,ROUND($B14/$C14,2),$B14-SUM(E14:G14))</f>
        <v>2702.48</v>
      </c>
      <c r="I14" s="280">
        <f>IF($C14&gt;3,ROUND($B14/$C14,2),$B14-SUM(E14:H14))</f>
        <v>2702.48</v>
      </c>
      <c r="J14" s="280">
        <f>IF($C14&gt;4,ROUND($B14/$C14,2),$B14-SUM(F14:I14))</f>
        <v>2702.48</v>
      </c>
      <c r="K14" s="280">
        <f>IF($C14&gt;5,ROUND($B14/$C14,2),$B14-SUM(G14:J14))</f>
        <v>1243.1399999999994</v>
      </c>
      <c r="L14" s="280"/>
      <c r="M14" s="280"/>
      <c r="N14" s="280"/>
      <c r="O14" s="255"/>
      <c r="P14" s="255"/>
      <c r="Q14" s="255"/>
      <c r="R14" s="274"/>
    </row>
    <row r="15" spans="1:18" x14ac:dyDescent="0.25">
      <c r="A15" s="278">
        <v>43281</v>
      </c>
      <c r="B15" s="309">
        <v>-5403.11</v>
      </c>
      <c r="C15" s="293">
        <v>4.3099999999999996</v>
      </c>
      <c r="D15" s="255"/>
      <c r="E15" s="282"/>
      <c r="F15" s="282"/>
      <c r="G15" s="282"/>
      <c r="H15" s="280">
        <f>IF($C15&gt;2,ROUND($B15/$C15,2),$B15-SUM(F15:G15))</f>
        <v>-1253.6199999999999</v>
      </c>
      <c r="I15" s="280">
        <f>IF($C15&gt;2,ROUND($B15/$C15,2),$B15-SUM(F15:H15))</f>
        <v>-1253.6199999999999</v>
      </c>
      <c r="J15" s="280">
        <f>IF($C15&gt;3,ROUND($B15/$C15,2),$B15-SUM(F15:I15))</f>
        <v>-1253.6199999999999</v>
      </c>
      <c r="K15" s="280">
        <f>IF($C15&gt;4,ROUND($B15/$C15,2),$B15-SUM(G15:J15))</f>
        <v>-1253.6199999999999</v>
      </c>
      <c r="L15" s="280">
        <f>IF($C15&gt;5,ROUND($B15/$C15,2),$B15-SUM(H15:K15))</f>
        <v>-388.63000000000011</v>
      </c>
      <c r="M15" s="280"/>
      <c r="N15" s="280"/>
      <c r="O15" s="255"/>
      <c r="P15" s="255"/>
      <c r="Q15" s="255"/>
      <c r="R15" s="274"/>
    </row>
    <row r="16" spans="1:18" x14ac:dyDescent="0.25">
      <c r="A16" s="278">
        <v>43646</v>
      </c>
      <c r="B16" s="309">
        <v>12231.98</v>
      </c>
      <c r="C16" s="293">
        <v>4.4400000000000004</v>
      </c>
      <c r="D16" s="255"/>
      <c r="E16" s="282"/>
      <c r="F16" s="282"/>
      <c r="G16" s="282"/>
      <c r="H16" s="282"/>
      <c r="I16" s="280">
        <f>IF($C16&gt;2,ROUND($B16/$C16,2),$B16-SUM(G16:H16))</f>
        <v>2754.95</v>
      </c>
      <c r="J16" s="280">
        <f>IF($C16&gt;2,ROUND($B16/$C16,2),$B16-SUM(G16:I16))</f>
        <v>2754.95</v>
      </c>
      <c r="K16" s="280">
        <f>IF($C16&gt;3,ROUND($B16/$C16,2),$B16-SUM(G16:J16))</f>
        <v>2754.95</v>
      </c>
      <c r="L16" s="280">
        <f>IF($C16&gt;4,ROUND($B16/$C16,2),$B16-SUM(H16:K16))</f>
        <v>2754.95</v>
      </c>
      <c r="M16" s="280">
        <f>IF($C16&gt;5,ROUND($B16/$C16,2),$B16-SUM(I16:L16))</f>
        <v>1212.1800000000003</v>
      </c>
      <c r="N16" s="280"/>
      <c r="O16" s="255"/>
      <c r="P16" s="255"/>
      <c r="Q16" s="255"/>
      <c r="R16" s="274"/>
    </row>
    <row r="17" spans="1:18" x14ac:dyDescent="0.25">
      <c r="A17" s="278">
        <v>44012</v>
      </c>
      <c r="B17" s="309">
        <v>-4887.07</v>
      </c>
      <c r="C17" s="293">
        <v>4.34</v>
      </c>
      <c r="D17" s="255"/>
      <c r="E17" s="282"/>
      <c r="F17" s="282"/>
      <c r="G17" s="282"/>
      <c r="H17" s="282"/>
      <c r="I17" s="282"/>
      <c r="J17" s="280">
        <f>IF($C17&gt;2,ROUND($B17/$C17,2),$B17-SUM(G17:I17))</f>
        <v>-1126.05</v>
      </c>
      <c r="K17" s="280">
        <f>IF($C17&gt;2,ROUND($B17/$C17,2),$B17-SUM(G17:J17))</f>
        <v>-1126.05</v>
      </c>
      <c r="L17" s="280">
        <f>IF($C17&gt;3,ROUND($B17/$C17,2),$B17-SUM(G17:K17))</f>
        <v>-1126.05</v>
      </c>
      <c r="M17" s="280">
        <f>IF($C17&gt;4,ROUND($B17/$C17,2),$B17-SUM(G17:L17))</f>
        <v>-1126.05</v>
      </c>
      <c r="N17" s="280">
        <f>IF($C17&gt;5,ROUND($B17/$C17,2),$B17-SUM(G17:M17))</f>
        <v>-382.86999999999989</v>
      </c>
      <c r="O17" s="255"/>
      <c r="P17" s="255"/>
      <c r="Q17" s="255"/>
      <c r="R17" s="274"/>
    </row>
    <row r="18" spans="1:18" x14ac:dyDescent="0.25">
      <c r="A18" s="278">
        <v>44377</v>
      </c>
      <c r="B18" s="309">
        <v>62.75</v>
      </c>
      <c r="C18" s="293">
        <v>4.25</v>
      </c>
      <c r="D18" s="255"/>
      <c r="E18" s="282"/>
      <c r="F18" s="282"/>
      <c r="G18" s="282"/>
      <c r="H18" s="282"/>
      <c r="I18" s="282"/>
      <c r="J18" s="282"/>
      <c r="K18" s="280">
        <f>IF($C18&gt;2,ROUND($B18/$C18,2),$B18-SUM(H18:J18))</f>
        <v>14.76</v>
      </c>
      <c r="L18" s="280">
        <f>IF($C18&gt;2,ROUND($B18/$C18,2),$B18-SUM(H18:K18))</f>
        <v>14.76</v>
      </c>
      <c r="M18" s="280">
        <f>IF($C18&gt;3,ROUND($B18/$C18,2),$B18-SUM(H18:L18))</f>
        <v>14.76</v>
      </c>
      <c r="N18" s="280">
        <f>IF($C18&gt;4,ROUND($B18/$C18,2),$B18-SUM(H18:M18))</f>
        <v>14.76</v>
      </c>
      <c r="O18" s="280">
        <f>IF($C18&gt;5,ROUND($B18/$C18,2),$B18-SUM(H18:N18))</f>
        <v>3.7100000000000009</v>
      </c>
      <c r="P18" s="255"/>
      <c r="Q18" s="255"/>
      <c r="R18" s="274"/>
    </row>
    <row r="19" spans="1:18" x14ac:dyDescent="0.25">
      <c r="A19" s="278">
        <v>44742</v>
      </c>
      <c r="B19" s="309">
        <v>-4325.54</v>
      </c>
      <c r="C19" s="293">
        <v>4.3899999999999997</v>
      </c>
      <c r="D19" s="255"/>
      <c r="E19" s="282"/>
      <c r="F19" s="282"/>
      <c r="G19" s="282"/>
      <c r="H19" s="282"/>
      <c r="I19" s="282"/>
      <c r="J19" s="282"/>
      <c r="K19" s="280"/>
      <c r="L19" s="280">
        <f>IF($C19&gt;2,ROUND($B19/$C19,2),$B19-SUM(I19:K19))</f>
        <v>-985.32</v>
      </c>
      <c r="M19" s="280">
        <f>IF($C19&gt;2,ROUND($B19/$C19,2),$B19-SUM(I19:L19))</f>
        <v>-985.32</v>
      </c>
      <c r="N19" s="280">
        <f>IF($C19&gt;3,ROUND($B19/$C19,2),$B19-SUM(I19:M19))</f>
        <v>-985.32</v>
      </c>
      <c r="O19" s="280">
        <f>IF($C19&gt;4,ROUND($B19/$C19,2),$B19-SUM(I19:N19))</f>
        <v>-985.32</v>
      </c>
      <c r="P19" s="280">
        <f>IF($C19&gt;5,ROUND($B19/$C19,2),$B19-SUM(I19:O19))</f>
        <v>-384.25999999999976</v>
      </c>
      <c r="Q19" s="255"/>
      <c r="R19" s="274"/>
    </row>
    <row r="20" spans="1:18" ht="14.4" thickBot="1" x14ac:dyDescent="0.3">
      <c r="A20" s="288">
        <v>45107</v>
      </c>
      <c r="B20" s="361">
        <f>Calculations!J96+Calculations!J97</f>
        <v>5845.3072819200388</v>
      </c>
      <c r="C20" s="295">
        <v>4.33</v>
      </c>
      <c r="D20" s="289"/>
      <c r="E20" s="291"/>
      <c r="F20" s="291"/>
      <c r="G20" s="291"/>
      <c r="H20" s="291"/>
      <c r="I20" s="291"/>
      <c r="J20" s="291"/>
      <c r="K20" s="362"/>
      <c r="L20" s="362"/>
      <c r="M20" s="362">
        <f>IF($C20&gt;2,ROUND($B20/$C20,2),$B20-SUM(J20:L20))</f>
        <v>1349.96</v>
      </c>
      <c r="N20" s="362">
        <f>IF($C20&gt;2,ROUND($B20/$C20,2),$B20-SUM(J20:M20))</f>
        <v>1349.96</v>
      </c>
      <c r="O20" s="362">
        <f>IF($C20&gt;3,ROUND($B20/$C20,2),$B20-SUM(J20:N20))</f>
        <v>1349.96</v>
      </c>
      <c r="P20" s="362">
        <f>IF($C20&gt;4,ROUND($B20/$C20,2),$B20-SUM(J20:O20))</f>
        <v>1349.96</v>
      </c>
      <c r="Q20" s="362">
        <f>IF($C20&gt;5,ROUND($B20/$C20,2),$B20-SUM(J20:P20))</f>
        <v>445.46728192003866</v>
      </c>
      <c r="R20" s="292"/>
    </row>
    <row r="21" spans="1:18" ht="14.4" thickBot="1" x14ac:dyDescent="0.3">
      <c r="A21" s="113"/>
      <c r="B21" s="97"/>
      <c r="D21" s="100"/>
      <c r="E21" s="257"/>
      <c r="F21" s="257"/>
      <c r="G21" s="257"/>
      <c r="H21" s="257"/>
      <c r="I21" s="257"/>
      <c r="J21" s="257"/>
      <c r="Q21" s="255"/>
      <c r="R21" s="255"/>
    </row>
    <row r="22" spans="1:18" x14ac:dyDescent="0.25">
      <c r="A22" s="266" t="s">
        <v>807</v>
      </c>
      <c r="B22" s="267"/>
      <c r="C22" s="268"/>
      <c r="D22" s="269"/>
      <c r="E22" s="270"/>
      <c r="F22" s="270"/>
      <c r="G22" s="270"/>
      <c r="H22" s="270"/>
      <c r="I22" s="270"/>
      <c r="J22" s="270"/>
      <c r="K22" s="268"/>
      <c r="L22" s="268"/>
      <c r="M22" s="268"/>
      <c r="N22" s="268"/>
      <c r="O22" s="268"/>
      <c r="P22" s="268"/>
      <c r="Q22" s="268"/>
      <c r="R22" s="271"/>
    </row>
    <row r="23" spans="1:18" ht="21" x14ac:dyDescent="0.4">
      <c r="A23" s="272"/>
      <c r="B23" s="273"/>
      <c r="C23" s="255"/>
      <c r="D23" s="382" t="s">
        <v>123</v>
      </c>
      <c r="E23" s="382"/>
      <c r="F23" s="382"/>
      <c r="G23" s="382"/>
      <c r="H23" s="382"/>
      <c r="I23" s="382"/>
      <c r="J23" s="382"/>
      <c r="K23" s="382"/>
      <c r="L23" s="382"/>
      <c r="M23" s="382"/>
      <c r="N23" s="382"/>
      <c r="O23" s="382"/>
      <c r="P23" s="382"/>
      <c r="Q23" s="255"/>
      <c r="R23" s="274"/>
    </row>
    <row r="24" spans="1:18" x14ac:dyDescent="0.25">
      <c r="A24" s="275" t="s">
        <v>203</v>
      </c>
      <c r="B24" s="368" t="s">
        <v>120</v>
      </c>
      <c r="C24" s="368" t="s">
        <v>155</v>
      </c>
      <c r="D24" s="368"/>
      <c r="E24" s="368"/>
      <c r="F24" s="368"/>
      <c r="G24" s="368"/>
      <c r="H24" s="368"/>
      <c r="I24" s="368"/>
      <c r="J24" s="368"/>
      <c r="K24" s="255"/>
      <c r="L24" s="255"/>
      <c r="M24" s="255"/>
      <c r="N24" s="255"/>
      <c r="O24" s="255"/>
      <c r="P24" s="255"/>
      <c r="Q24" s="255"/>
      <c r="R24" s="274"/>
    </row>
    <row r="25" spans="1:18" x14ac:dyDescent="0.25">
      <c r="A25" s="276" t="s">
        <v>204</v>
      </c>
      <c r="B25" s="273" t="s">
        <v>804</v>
      </c>
      <c r="C25" s="368" t="s">
        <v>156</v>
      </c>
      <c r="D25" s="277">
        <v>2014</v>
      </c>
      <c r="E25" s="277">
        <v>2015</v>
      </c>
      <c r="F25" s="277">
        <v>2016</v>
      </c>
      <c r="G25" s="277">
        <v>2017</v>
      </c>
      <c r="H25" s="277">
        <v>2018</v>
      </c>
      <c r="I25" s="277">
        <v>2019</v>
      </c>
      <c r="J25" s="277">
        <v>2020</v>
      </c>
      <c r="K25" s="277">
        <v>2021</v>
      </c>
      <c r="L25" s="277">
        <v>2022</v>
      </c>
      <c r="M25" s="277">
        <v>2023</v>
      </c>
      <c r="N25" s="277">
        <v>2024</v>
      </c>
      <c r="O25" s="277">
        <v>2025</v>
      </c>
      <c r="P25" s="277">
        <v>2026</v>
      </c>
      <c r="Q25" s="277">
        <v>2027</v>
      </c>
      <c r="R25" s="274"/>
    </row>
    <row r="26" spans="1:18" x14ac:dyDescent="0.25">
      <c r="A26" s="278">
        <v>41820</v>
      </c>
      <c r="B26" s="279">
        <f t="shared" ref="B26:B35" si="0">IF(B11&gt;0,B11,0)</f>
        <v>0</v>
      </c>
      <c r="C26" s="280">
        <f t="shared" ref="C26:C34" si="1">C11</f>
        <v>0</v>
      </c>
      <c r="D26" s="281">
        <f>IF($C26&gt;0,ROUND($B26/$C26,0),0)</f>
        <v>0</v>
      </c>
      <c r="E26" s="281">
        <f>IF($C$11&gt;2,ROUND($B$11/$C$11,0),$B$11-SUM(D26:D26))</f>
        <v>0</v>
      </c>
      <c r="F26" s="281">
        <f>IF($C26&gt;3,ROUND($B26/$C26,0),$B26-SUM(D26:E26))</f>
        <v>0</v>
      </c>
      <c r="G26" s="281">
        <f>IF($C26&gt;4,ROUND($B26/$C26,0),$B26-SUM(D26:F26))</f>
        <v>0</v>
      </c>
      <c r="H26" s="281">
        <f>IF($C26&gt;5,ROUND($B26/$C26,0),$B26-SUM(D26:G26))</f>
        <v>0</v>
      </c>
      <c r="I26" s="281">
        <f>IF($C26&gt;6,ROUND($B26/$C26,0),$B26-SUM(D26:H26))</f>
        <v>0</v>
      </c>
      <c r="J26" s="255"/>
      <c r="K26" s="255"/>
      <c r="L26" s="255"/>
      <c r="M26" s="255"/>
      <c r="N26" s="255"/>
      <c r="O26" s="255"/>
      <c r="P26" s="255"/>
      <c r="Q26" s="255"/>
      <c r="R26" s="274"/>
    </row>
    <row r="27" spans="1:18" x14ac:dyDescent="0.25">
      <c r="A27" s="278">
        <v>42185</v>
      </c>
      <c r="B27" s="279">
        <f t="shared" si="0"/>
        <v>1062.45</v>
      </c>
      <c r="C27" s="280">
        <f t="shared" si="1"/>
        <v>4.4400000000000004</v>
      </c>
      <c r="D27" s="255"/>
      <c r="E27" s="280">
        <f>IF($C27&gt;2,ROUND($B27/$C27,2),$B27-SUM(C27:D27))</f>
        <v>239.29</v>
      </c>
      <c r="F27" s="280">
        <f>IF($C27&gt;2,ROUND($B27/$C27,2),$B27-SUM(D27:E27))</f>
        <v>239.29</v>
      </c>
      <c r="G27" s="280">
        <f>IF($C27&gt;3,ROUND($B27/$C27,2),$B27-SUM(D27:F27))</f>
        <v>239.29</v>
      </c>
      <c r="H27" s="280">
        <f>IF($C27&gt;4,ROUND($B27/$C27,2),$B27-SUM(D27:G27))</f>
        <v>239.29</v>
      </c>
      <c r="I27" s="280">
        <f>IF($C27&gt;5,ROUND($B27/$C27,2),$B27-SUM(E27:H27))</f>
        <v>105.29000000000008</v>
      </c>
      <c r="J27" s="280">
        <f>IF($C27&gt;6,ROUND($B27/$C27,0),$B27-SUM(E27:I27))</f>
        <v>0</v>
      </c>
      <c r="K27" s="255"/>
      <c r="L27" s="255"/>
      <c r="M27" s="255"/>
      <c r="N27" s="255"/>
      <c r="O27" s="255"/>
      <c r="P27" s="255"/>
      <c r="Q27" s="255"/>
      <c r="R27" s="274"/>
    </row>
    <row r="28" spans="1:18" x14ac:dyDescent="0.25">
      <c r="A28" s="278">
        <v>42551</v>
      </c>
      <c r="B28" s="279">
        <f t="shared" si="0"/>
        <v>0</v>
      </c>
      <c r="C28" s="280">
        <f t="shared" si="1"/>
        <v>4.38</v>
      </c>
      <c r="D28" s="255"/>
      <c r="E28" s="280"/>
      <c r="F28" s="280">
        <f>IF($C28&gt;2,ROUND($B28/$C28,2),$B28-SUM(D28:E28))</f>
        <v>0</v>
      </c>
      <c r="G28" s="280">
        <f>IF($C28&gt;2,ROUND($B28/$C28,2),$B28-SUM(D28:F28))</f>
        <v>0</v>
      </c>
      <c r="H28" s="280">
        <f>IF($C28&gt;3,ROUND($B28/$C28,2),$B28-SUM(D28:G28))</f>
        <v>0</v>
      </c>
      <c r="I28" s="280">
        <f>IF($C28&gt;4,ROUND($B28/$C28,2),$B28-SUM(E28:H28))</f>
        <v>0</v>
      </c>
      <c r="J28" s="280">
        <f>IF($C28&gt;5,ROUND($B28/$C28,2),$B28-SUM(F28:I28))</f>
        <v>0</v>
      </c>
      <c r="K28" s="255"/>
      <c r="L28" s="255"/>
      <c r="M28" s="255"/>
      <c r="N28" s="255"/>
      <c r="O28" s="255"/>
      <c r="P28" s="255"/>
      <c r="Q28" s="255"/>
      <c r="R28" s="274"/>
    </row>
    <row r="29" spans="1:18" x14ac:dyDescent="0.25">
      <c r="A29" s="278">
        <v>42916</v>
      </c>
      <c r="B29" s="279">
        <f t="shared" si="0"/>
        <v>12053.06</v>
      </c>
      <c r="C29" s="280">
        <f t="shared" si="1"/>
        <v>4.46</v>
      </c>
      <c r="D29" s="255"/>
      <c r="E29" s="282"/>
      <c r="F29" s="282"/>
      <c r="G29" s="280">
        <f>IF($C29&gt;2,ROUND($B29/$C29,2),$B29-SUM(E29:F29))</f>
        <v>2702.48</v>
      </c>
      <c r="H29" s="280">
        <f>IF($C29&gt;2,ROUND($B29/$C29,2),$B29-SUM(E29:G29))</f>
        <v>2702.48</v>
      </c>
      <c r="I29" s="280">
        <f>IF($C29&gt;3,ROUND($B29/$C29,2),$B29-SUM(E29:H29))</f>
        <v>2702.48</v>
      </c>
      <c r="J29" s="280">
        <f>IF($C29&gt;4,ROUND($B29/$C29,2),$B29-SUM(F29:I29))</f>
        <v>2702.48</v>
      </c>
      <c r="K29" s="280">
        <f>IF($C29&gt;5,ROUND($B29/$C29,2),$B29-SUM(G29:J29))</f>
        <v>1243.1399999999994</v>
      </c>
      <c r="L29" s="280"/>
      <c r="M29" s="280"/>
      <c r="N29" s="280"/>
      <c r="O29" s="255"/>
      <c r="P29" s="255"/>
      <c r="Q29" s="255"/>
      <c r="R29" s="274"/>
    </row>
    <row r="30" spans="1:18" x14ac:dyDescent="0.25">
      <c r="A30" s="278">
        <v>43281</v>
      </c>
      <c r="B30" s="279">
        <f t="shared" si="0"/>
        <v>0</v>
      </c>
      <c r="C30" s="280">
        <f t="shared" si="1"/>
        <v>4.3099999999999996</v>
      </c>
      <c r="D30" s="255"/>
      <c r="E30" s="282"/>
      <c r="F30" s="282"/>
      <c r="G30" s="282"/>
      <c r="H30" s="280">
        <f>IF($C30&gt;2,ROUND($B30/$C30,2),$B30-SUM(F30:G30))</f>
        <v>0</v>
      </c>
      <c r="I30" s="280">
        <f>IF($C30&gt;2,ROUND($B30/$C30,2),$B30-SUM(F30:H30))</f>
        <v>0</v>
      </c>
      <c r="J30" s="280">
        <f>IF($C30&gt;3,ROUND($B30/$C30,2),$B30-SUM(F30:I30))</f>
        <v>0</v>
      </c>
      <c r="K30" s="280">
        <f>IF($C30&gt;4,ROUND($B30/$C30,2),$B30-SUM(G30:J30))</f>
        <v>0</v>
      </c>
      <c r="L30" s="280">
        <f>IF($C30&gt;5,ROUND($B30/$C30,2),$B30-SUM(H30:K30))</f>
        <v>0</v>
      </c>
      <c r="M30" s="280"/>
      <c r="N30" s="280"/>
      <c r="O30" s="255"/>
      <c r="P30" s="255"/>
      <c r="Q30" s="255"/>
      <c r="R30" s="274"/>
    </row>
    <row r="31" spans="1:18" x14ac:dyDescent="0.25">
      <c r="A31" s="278">
        <v>43646</v>
      </c>
      <c r="B31" s="279">
        <f t="shared" si="0"/>
        <v>12231.98</v>
      </c>
      <c r="C31" s="280">
        <f t="shared" si="1"/>
        <v>4.4400000000000004</v>
      </c>
      <c r="D31" s="255"/>
      <c r="E31" s="282"/>
      <c r="F31" s="282"/>
      <c r="G31" s="282"/>
      <c r="H31" s="282"/>
      <c r="I31" s="280">
        <f>IF($C31&gt;2,ROUND($B31/$C31,2),$B31-SUM(G31:H31))</f>
        <v>2754.95</v>
      </c>
      <c r="J31" s="280">
        <f>IF($C31&gt;2,ROUND($B31/$C31,2),$B31-SUM(G31:I31))</f>
        <v>2754.95</v>
      </c>
      <c r="K31" s="280">
        <f>IF($C31&gt;3,ROUND($B31/$C31,2),$B31-SUM(G31:J31))</f>
        <v>2754.95</v>
      </c>
      <c r="L31" s="280">
        <f>IF($C31&gt;4,ROUND($B31/$C31,2),$B31-SUM(H31:K31))</f>
        <v>2754.95</v>
      </c>
      <c r="M31" s="280">
        <f>IF($C31&gt;5,ROUND($B31/$C31,2),$B31-SUM(I31:L31))</f>
        <v>1212.1800000000003</v>
      </c>
      <c r="N31" s="280"/>
      <c r="O31" s="255"/>
      <c r="P31" s="255"/>
      <c r="Q31" s="255"/>
      <c r="R31" s="274"/>
    </row>
    <row r="32" spans="1:18" x14ac:dyDescent="0.25">
      <c r="A32" s="278">
        <v>44012</v>
      </c>
      <c r="B32" s="279">
        <f t="shared" si="0"/>
        <v>0</v>
      </c>
      <c r="C32" s="280">
        <f t="shared" si="1"/>
        <v>4.34</v>
      </c>
      <c r="D32" s="255"/>
      <c r="E32" s="282"/>
      <c r="F32" s="282"/>
      <c r="G32" s="282"/>
      <c r="H32" s="282"/>
      <c r="I32" s="282"/>
      <c r="J32" s="280">
        <f>IF($C32&gt;2,ROUND($B32/$C32,2),$B32-SUM(H32:I32))</f>
        <v>0</v>
      </c>
      <c r="K32" s="280">
        <f>IF($C32&gt;2,ROUND($B32/$C32,2),$B32-SUM(H32:J32))</f>
        <v>0</v>
      </c>
      <c r="L32" s="280">
        <f>IF($C32&gt;3,ROUND($B32/$C32,2),$B32-SUM(H32:K32))</f>
        <v>0</v>
      </c>
      <c r="M32" s="280">
        <f>IF($C32&gt;4,ROUND($B32/$C32,2),$B32-SUM(I32:L32))</f>
        <v>0</v>
      </c>
      <c r="N32" s="280">
        <f>IF($C32&gt;5,ROUND($B32/$C32,2),$B32-SUM(J32:M32))</f>
        <v>0</v>
      </c>
      <c r="O32" s="255"/>
      <c r="P32" s="255"/>
      <c r="Q32" s="255"/>
      <c r="R32" s="274"/>
    </row>
    <row r="33" spans="1:18" x14ac:dyDescent="0.25">
      <c r="A33" s="278">
        <v>44377</v>
      </c>
      <c r="B33" s="279">
        <f t="shared" si="0"/>
        <v>62.75</v>
      </c>
      <c r="C33" s="280">
        <f t="shared" si="1"/>
        <v>4.25</v>
      </c>
      <c r="D33" s="255"/>
      <c r="E33" s="282"/>
      <c r="F33" s="282"/>
      <c r="G33" s="282"/>
      <c r="H33" s="282"/>
      <c r="I33" s="282"/>
      <c r="J33" s="282"/>
      <c r="K33" s="280">
        <f>IF($C33&gt;2,ROUND($B33/$C33,2),$B33-SUM(I33:J33))</f>
        <v>14.76</v>
      </c>
      <c r="L33" s="280">
        <f>IF($C33&gt;2,ROUND($B33/$C33,2),$B33-SUM(I33:K33))</f>
        <v>14.76</v>
      </c>
      <c r="M33" s="280">
        <f>IF($C33&gt;3,ROUND($B33/$C33,2),$B33-SUM(I33:L33))</f>
        <v>14.76</v>
      </c>
      <c r="N33" s="280">
        <f>IF($C33&gt;4,ROUND($B33/$C33,2),$B33-SUM(I33:M33))</f>
        <v>14.76</v>
      </c>
      <c r="O33" s="280">
        <f>IF($C33&gt;5,ROUND($B33/$C33,2),$B33-SUM(I33:N33))</f>
        <v>3.7100000000000009</v>
      </c>
      <c r="P33" s="255"/>
      <c r="Q33" s="255"/>
      <c r="R33" s="274"/>
    </row>
    <row r="34" spans="1:18" x14ac:dyDescent="0.25">
      <c r="A34" s="278">
        <v>44742</v>
      </c>
      <c r="B34" s="279">
        <f t="shared" si="0"/>
        <v>0</v>
      </c>
      <c r="C34" s="280">
        <f t="shared" si="1"/>
        <v>4.3899999999999997</v>
      </c>
      <c r="D34" s="255"/>
      <c r="E34" s="282"/>
      <c r="F34" s="282"/>
      <c r="G34" s="282"/>
      <c r="H34" s="282"/>
      <c r="I34" s="282"/>
      <c r="J34" s="282"/>
      <c r="K34" s="280"/>
      <c r="L34" s="280">
        <f>IF($C34&gt;2,ROUND($B34/$C34,2),$B34-SUM(J34:K34))</f>
        <v>0</v>
      </c>
      <c r="M34" s="280">
        <f>IF($C34&gt;2,ROUND($B34/$C34,2),$B34-SUM(J34:L34))</f>
        <v>0</v>
      </c>
      <c r="N34" s="280">
        <f>IF($C34&gt;3,ROUND($B34/$C34,2),$B34-SUM(J34:M34))</f>
        <v>0</v>
      </c>
      <c r="O34" s="280">
        <f>IF($C34&gt;4,ROUND($B34/$C34,2),$B34-SUM(J34:N34))</f>
        <v>0</v>
      </c>
      <c r="P34" s="280">
        <f>IF($C34&gt;5,ROUND($B34/$C34,2),$B34-SUM(J34:O34))</f>
        <v>0</v>
      </c>
      <c r="Q34" s="255"/>
      <c r="R34" s="274"/>
    </row>
    <row r="35" spans="1:18" x14ac:dyDescent="0.25">
      <c r="A35" s="278">
        <v>45107</v>
      </c>
      <c r="B35" s="279">
        <f t="shared" si="0"/>
        <v>5845.3072819200388</v>
      </c>
      <c r="C35" s="280">
        <f t="shared" ref="C35" si="2">C20</f>
        <v>4.33</v>
      </c>
      <c r="D35" s="255"/>
      <c r="E35" s="282"/>
      <c r="F35" s="282"/>
      <c r="G35" s="282"/>
      <c r="H35" s="282"/>
      <c r="I35" s="282"/>
      <c r="J35" s="282"/>
      <c r="K35" s="280"/>
      <c r="L35" s="280"/>
      <c r="M35" s="280">
        <f>IF($C35&gt;2,ROUND($B35/$C35,2),$B35-SUM(K35:L35))</f>
        <v>1349.96</v>
      </c>
      <c r="N35" s="280">
        <f>IF($C35&gt;2,ROUND($B35/$C35,2),$B35-SUM(K35:M35))</f>
        <v>1349.96</v>
      </c>
      <c r="O35" s="280">
        <f>IF($C35&gt;3,ROUND($B35/$C35,2),$B35-SUM(K35:N35))</f>
        <v>1349.96</v>
      </c>
      <c r="P35" s="280">
        <f>IF($C35&gt;4,ROUND($B35/$C35,2),$B35-SUM(K35:O35))</f>
        <v>1349.96</v>
      </c>
      <c r="Q35" s="280">
        <f>IF($C35&gt;5,ROUND($B35/$C35,2),$B35-SUM(K35:P35))</f>
        <v>445.46728192003866</v>
      </c>
      <c r="R35" s="274"/>
    </row>
    <row r="36" spans="1:18" x14ac:dyDescent="0.25">
      <c r="A36" s="283"/>
      <c r="B36" s="255"/>
      <c r="C36" s="255"/>
      <c r="D36" s="255"/>
      <c r="E36" s="284"/>
      <c r="F36" s="284"/>
      <c r="G36" s="284"/>
      <c r="H36" s="284"/>
      <c r="I36" s="284"/>
      <c r="J36" s="284"/>
      <c r="K36" s="255"/>
      <c r="L36" s="255"/>
      <c r="M36" s="255"/>
      <c r="N36" s="255"/>
      <c r="O36" s="255"/>
      <c r="P36" s="255"/>
      <c r="Q36" s="255"/>
      <c r="R36" s="274"/>
    </row>
    <row r="37" spans="1:18" x14ac:dyDescent="0.25">
      <c r="A37" s="285" t="s">
        <v>121</v>
      </c>
      <c r="B37" s="255"/>
      <c r="C37" s="255"/>
      <c r="D37" s="286">
        <f t="shared" ref="D37" si="3">SUM(D26:D33)</f>
        <v>0</v>
      </c>
      <c r="E37" s="282">
        <f>SUM(E26:E35)</f>
        <v>239.29</v>
      </c>
      <c r="F37" s="282">
        <f t="shared" ref="F37:Q37" si="4">SUM(F26:F35)</f>
        <v>239.29</v>
      </c>
      <c r="G37" s="282">
        <f t="shared" si="4"/>
        <v>2941.77</v>
      </c>
      <c r="H37" s="282">
        <f t="shared" si="4"/>
        <v>2941.77</v>
      </c>
      <c r="I37" s="282">
        <f t="shared" si="4"/>
        <v>5562.7199999999993</v>
      </c>
      <c r="J37" s="282">
        <f t="shared" si="4"/>
        <v>5457.43</v>
      </c>
      <c r="K37" s="282">
        <f t="shared" si="4"/>
        <v>4012.8499999999995</v>
      </c>
      <c r="L37" s="282">
        <f t="shared" si="4"/>
        <v>2769.71</v>
      </c>
      <c r="M37" s="282">
        <f t="shared" si="4"/>
        <v>2576.9000000000005</v>
      </c>
      <c r="N37" s="282">
        <f t="shared" si="4"/>
        <v>1364.72</v>
      </c>
      <c r="O37" s="282">
        <f t="shared" si="4"/>
        <v>1353.67</v>
      </c>
      <c r="P37" s="282">
        <f>SUM(P26:P35)</f>
        <v>1349.96</v>
      </c>
      <c r="Q37" s="282">
        <f t="shared" si="4"/>
        <v>445.46728192003866</v>
      </c>
      <c r="R37" s="274"/>
    </row>
    <row r="38" spans="1:18" x14ac:dyDescent="0.25">
      <c r="A38" s="287"/>
      <c r="B38" s="255"/>
      <c r="C38" s="255"/>
      <c r="D38" s="286"/>
      <c r="E38" s="282"/>
      <c r="F38" s="282"/>
      <c r="G38" s="282"/>
      <c r="H38" s="282"/>
      <c r="I38" s="282"/>
      <c r="J38" s="282"/>
      <c r="K38" s="255"/>
      <c r="L38" s="255"/>
      <c r="M38" s="255"/>
      <c r="N38" s="255"/>
      <c r="O38" s="255"/>
      <c r="P38" s="255"/>
      <c r="Q38" s="255"/>
      <c r="R38" s="274"/>
    </row>
    <row r="39" spans="1:18" x14ac:dyDescent="0.25">
      <c r="A39" s="285" t="s">
        <v>809</v>
      </c>
      <c r="B39" s="368"/>
      <c r="C39" s="255"/>
      <c r="D39" s="286">
        <f>SUM(E26:J26)</f>
        <v>0</v>
      </c>
      <c r="E39" s="282">
        <f>SUM(F26:K27)</f>
        <v>823.16000000000008</v>
      </c>
      <c r="F39" s="282">
        <f>SUM(G26:K28)</f>
        <v>583.87000000000012</v>
      </c>
      <c r="G39" s="282">
        <f>SUM(H26:L29)</f>
        <v>9695.16</v>
      </c>
      <c r="H39" s="282">
        <f>SUM(I26:M30)</f>
        <v>6753.3899999999994</v>
      </c>
      <c r="I39" s="282">
        <f>SUM(J26:M31)</f>
        <v>13422.650000000001</v>
      </c>
      <c r="J39" s="282">
        <f>SUM(K26:N32)</f>
        <v>7965.2199999999993</v>
      </c>
      <c r="K39" s="282">
        <f>SUM(L26:O33)</f>
        <v>4015.1200000000008</v>
      </c>
      <c r="L39" s="282">
        <f>SUM(M26:P34)</f>
        <v>1245.4100000000003</v>
      </c>
      <c r="M39" s="282">
        <f>SUM(N26:Q35)</f>
        <v>4513.817281920039</v>
      </c>
      <c r="N39" s="282">
        <f>SUM(O26:R35)</f>
        <v>3149.0972819200388</v>
      </c>
      <c r="O39" s="282">
        <f>SUM(P26:S35)</f>
        <v>1795.4272819200387</v>
      </c>
      <c r="P39" s="282">
        <f>SUM(Q26:T35)</f>
        <v>445.46728192003866</v>
      </c>
      <c r="Q39" s="282">
        <f>SUM(R26:U36)</f>
        <v>0</v>
      </c>
      <c r="R39" s="274"/>
    </row>
    <row r="40" spans="1:18" ht="14.4" thickBot="1" x14ac:dyDescent="0.3">
      <c r="A40" s="288"/>
      <c r="B40" s="289"/>
      <c r="C40" s="289"/>
      <c r="D40" s="290"/>
      <c r="E40" s="291"/>
      <c r="F40" s="291"/>
      <c r="G40" s="291"/>
      <c r="H40" s="291"/>
      <c r="I40" s="291"/>
      <c r="J40" s="291"/>
      <c r="K40" s="289"/>
      <c r="L40" s="289"/>
      <c r="M40" s="289"/>
      <c r="N40" s="289"/>
      <c r="O40" s="289"/>
      <c r="P40" s="289"/>
      <c r="Q40" s="289"/>
      <c r="R40" s="292"/>
    </row>
    <row r="41" spans="1:18" ht="14.4" thickBot="1" x14ac:dyDescent="0.3">
      <c r="A41" s="99"/>
      <c r="D41" s="100"/>
      <c r="E41" s="257"/>
      <c r="F41" s="257"/>
      <c r="G41" s="257"/>
      <c r="H41" s="257"/>
      <c r="I41" s="257"/>
      <c r="J41" s="257"/>
      <c r="Q41" s="255"/>
      <c r="R41" s="255"/>
    </row>
    <row r="42" spans="1:18" x14ac:dyDescent="0.25">
      <c r="A42" s="266" t="s">
        <v>808</v>
      </c>
      <c r="B42" s="267"/>
      <c r="C42" s="268"/>
      <c r="D42" s="269"/>
      <c r="E42" s="270"/>
      <c r="F42" s="270"/>
      <c r="G42" s="270"/>
      <c r="H42" s="270"/>
      <c r="I42" s="270"/>
      <c r="J42" s="270"/>
      <c r="K42" s="268"/>
      <c r="L42" s="268"/>
      <c r="M42" s="268"/>
      <c r="N42" s="268"/>
      <c r="O42" s="268"/>
      <c r="P42" s="268"/>
      <c r="Q42" s="268"/>
      <c r="R42" s="271"/>
    </row>
    <row r="43" spans="1:18" ht="21" x14ac:dyDescent="0.4">
      <c r="A43" s="272"/>
      <c r="B43" s="273"/>
      <c r="C43" s="255"/>
      <c r="D43" s="382" t="s">
        <v>123</v>
      </c>
      <c r="E43" s="382"/>
      <c r="F43" s="382"/>
      <c r="G43" s="382"/>
      <c r="H43" s="382"/>
      <c r="I43" s="382"/>
      <c r="J43" s="382"/>
      <c r="K43" s="382"/>
      <c r="L43" s="382"/>
      <c r="M43" s="382"/>
      <c r="N43" s="382"/>
      <c r="O43" s="382"/>
      <c r="P43" s="382"/>
      <c r="Q43" s="255"/>
      <c r="R43" s="274"/>
    </row>
    <row r="44" spans="1:18" x14ac:dyDescent="0.25">
      <c r="A44" s="275" t="s">
        <v>203</v>
      </c>
      <c r="B44" s="368" t="s">
        <v>120</v>
      </c>
      <c r="C44" s="368" t="s">
        <v>155</v>
      </c>
      <c r="D44" s="368"/>
      <c r="E44" s="368"/>
      <c r="F44" s="368"/>
      <c r="G44" s="368"/>
      <c r="H44" s="368"/>
      <c r="I44" s="368"/>
      <c r="J44" s="368"/>
      <c r="K44" s="255"/>
      <c r="L44" s="255"/>
      <c r="M44" s="255"/>
      <c r="N44" s="255"/>
      <c r="O44" s="255"/>
      <c r="P44" s="255"/>
      <c r="Q44" s="255"/>
      <c r="R44" s="274"/>
    </row>
    <row r="45" spans="1:18" x14ac:dyDescent="0.25">
      <c r="A45" s="276" t="s">
        <v>204</v>
      </c>
      <c r="B45" s="273" t="s">
        <v>805</v>
      </c>
      <c r="C45" s="368" t="s">
        <v>156</v>
      </c>
      <c r="D45" s="277">
        <v>2014</v>
      </c>
      <c r="E45" s="277">
        <v>2015</v>
      </c>
      <c r="F45" s="277">
        <v>2016</v>
      </c>
      <c r="G45" s="277">
        <v>2017</v>
      </c>
      <c r="H45" s="277">
        <v>2018</v>
      </c>
      <c r="I45" s="277">
        <v>2019</v>
      </c>
      <c r="J45" s="277">
        <v>2020</v>
      </c>
      <c r="K45" s="277">
        <v>2021</v>
      </c>
      <c r="L45" s="277">
        <v>2022</v>
      </c>
      <c r="M45" s="277">
        <v>2023</v>
      </c>
      <c r="N45" s="277">
        <v>2024</v>
      </c>
      <c r="O45" s="277">
        <v>2025</v>
      </c>
      <c r="P45" s="277">
        <v>2026</v>
      </c>
      <c r="Q45" s="277">
        <v>2027</v>
      </c>
      <c r="R45" s="274"/>
    </row>
    <row r="46" spans="1:18" x14ac:dyDescent="0.25">
      <c r="A46" s="278">
        <v>41820</v>
      </c>
      <c r="B46" s="279">
        <f t="shared" ref="B46:B54" si="5">IF(B11&lt;0,B11,0)</f>
        <v>0</v>
      </c>
      <c r="C46" s="280">
        <f t="shared" ref="C46:C54" si="6">C11</f>
        <v>0</v>
      </c>
      <c r="D46" s="281">
        <f>IF($C46&gt;0,ROUND($B46/$C46,0),0)</f>
        <v>0</v>
      </c>
      <c r="E46" s="281">
        <f>IF($C$11&gt;2,ROUND($B$11/$C$11,0),$B$11-SUM(D46:D46))</f>
        <v>0</v>
      </c>
      <c r="F46" s="281">
        <f>IF($C46&gt;3,ROUND($B46/$C46,0),$B46-SUM(D46:E46))</f>
        <v>0</v>
      </c>
      <c r="G46" s="281">
        <f>IF($C46&gt;4,ROUND($B46/$C46,0),$B46-SUM(D46:F46))</f>
        <v>0</v>
      </c>
      <c r="H46" s="281">
        <f>IF($C46&gt;5,ROUND($B46/$C46,0),$B46-SUM(D46:G46))</f>
        <v>0</v>
      </c>
      <c r="I46" s="281">
        <f>IF($C46&gt;6,ROUND($B46/$C46,0),$B46-SUM(D46:H46))</f>
        <v>0</v>
      </c>
      <c r="J46" s="255"/>
      <c r="K46" s="255"/>
      <c r="L46" s="255"/>
      <c r="M46" s="255"/>
      <c r="N46" s="255"/>
      <c r="O46" s="255"/>
      <c r="P46" s="255"/>
      <c r="Q46" s="255"/>
      <c r="R46" s="274"/>
    </row>
    <row r="47" spans="1:18" x14ac:dyDescent="0.25">
      <c r="A47" s="278">
        <v>42185</v>
      </c>
      <c r="B47" s="279">
        <f t="shared" si="5"/>
        <v>0</v>
      </c>
      <c r="C47" s="280">
        <f t="shared" si="6"/>
        <v>4.4400000000000004</v>
      </c>
      <c r="D47" s="255"/>
      <c r="E47" s="280">
        <f>IF($C47&gt;2,ROUND($B47/$C47,2),$B47-SUM(C47:D47))</f>
        <v>0</v>
      </c>
      <c r="F47" s="280">
        <f>IF($C47&gt;2,ROUND($B47/$C47,2),$B47-SUM(D47:E47))</f>
        <v>0</v>
      </c>
      <c r="G47" s="280">
        <f>IF($C47&gt;3,ROUND($B47/$C47,2),$B47-SUM(D47:F47))</f>
        <v>0</v>
      </c>
      <c r="H47" s="280">
        <f>IF($C47&gt;4,ROUND($B47/$C47,2),$B47-SUM(D47:G47))</f>
        <v>0</v>
      </c>
      <c r="I47" s="280">
        <f>IF($C47&gt;5,ROUND($B47/$C47,2),$B47-SUM(E47:H47))</f>
        <v>0</v>
      </c>
      <c r="J47" s="280">
        <f>IF($C47&gt;6,ROUND($B47/$C47,0),$B47-SUM(E47:I47))</f>
        <v>0</v>
      </c>
      <c r="K47" s="255"/>
      <c r="L47" s="255"/>
      <c r="M47" s="255"/>
      <c r="N47" s="255"/>
      <c r="O47" s="255"/>
      <c r="P47" s="255"/>
      <c r="Q47" s="255"/>
      <c r="R47" s="274"/>
    </row>
    <row r="48" spans="1:18" x14ac:dyDescent="0.25">
      <c r="A48" s="278">
        <v>42551</v>
      </c>
      <c r="B48" s="279">
        <f t="shared" si="5"/>
        <v>-1014.46</v>
      </c>
      <c r="C48" s="280">
        <f t="shared" si="6"/>
        <v>4.38</v>
      </c>
      <c r="D48" s="255"/>
      <c r="E48" s="280"/>
      <c r="F48" s="280">
        <f>IF($C48&gt;2,ROUND($B48/$C48,2),$B48-SUM(D48:E48))</f>
        <v>-231.61</v>
      </c>
      <c r="G48" s="280">
        <f>IF($C48&gt;2,ROUND($B48/$C48,2),$B48-SUM(D48:F48))</f>
        <v>-231.61</v>
      </c>
      <c r="H48" s="280">
        <f>IF($C48&gt;3,ROUND($B48/$C48,2),$B48-SUM(D48:G48))</f>
        <v>-231.61</v>
      </c>
      <c r="I48" s="280">
        <f>IF($C48&gt;4,ROUND($B48/$C48,2),$B48-SUM(E48:H48))</f>
        <v>-231.61</v>
      </c>
      <c r="J48" s="280">
        <f>IF($C48&gt;5,ROUND($B48/$C48,2),$B48-SUM(F48:I48))</f>
        <v>-88.019999999999982</v>
      </c>
      <c r="K48" s="255"/>
      <c r="L48" s="255"/>
      <c r="M48" s="255"/>
      <c r="N48" s="255"/>
      <c r="O48" s="255"/>
      <c r="P48" s="255"/>
      <c r="Q48" s="255"/>
      <c r="R48" s="274"/>
    </row>
    <row r="49" spans="1:18" x14ac:dyDescent="0.25">
      <c r="A49" s="278">
        <v>42916</v>
      </c>
      <c r="B49" s="279">
        <f t="shared" si="5"/>
        <v>0</v>
      </c>
      <c r="C49" s="280">
        <f t="shared" si="6"/>
        <v>4.46</v>
      </c>
      <c r="D49" s="255"/>
      <c r="E49" s="282"/>
      <c r="F49" s="282"/>
      <c r="G49" s="280">
        <f>IF($C49&gt;2,ROUND($B49/$C49,2),$B49-SUM(E49:F49))</f>
        <v>0</v>
      </c>
      <c r="H49" s="280">
        <f>IF($C49&gt;2,ROUND($B49/$C49,2),$B49-SUM(E49:G49))</f>
        <v>0</v>
      </c>
      <c r="I49" s="280">
        <f>IF($C49&gt;3,ROUND($B49/$C49,2),$B49-SUM(E49:H49))</f>
        <v>0</v>
      </c>
      <c r="J49" s="280">
        <f>IF($C49&gt;4,ROUND($B49/$C49,2),$B49-SUM(F49:I49))</f>
        <v>0</v>
      </c>
      <c r="K49" s="280">
        <f>IF($C49&gt;5,ROUND($B49/$C49,2),$B49-SUM(G49:J49))</f>
        <v>0</v>
      </c>
      <c r="L49" s="280"/>
      <c r="M49" s="280"/>
      <c r="N49" s="280"/>
      <c r="O49" s="255"/>
      <c r="P49" s="255"/>
      <c r="Q49" s="255"/>
      <c r="R49" s="274"/>
    </row>
    <row r="50" spans="1:18" x14ac:dyDescent="0.25">
      <c r="A50" s="278">
        <v>43281</v>
      </c>
      <c r="B50" s="279">
        <f t="shared" si="5"/>
        <v>-5403.11</v>
      </c>
      <c r="C50" s="280">
        <f t="shared" si="6"/>
        <v>4.3099999999999996</v>
      </c>
      <c r="D50" s="255"/>
      <c r="E50" s="282"/>
      <c r="F50" s="282"/>
      <c r="G50" s="282"/>
      <c r="H50" s="280">
        <f>IF($C50&gt;2,ROUND($B50/$C50,2),$B50-SUM(F50:G50))</f>
        <v>-1253.6199999999999</v>
      </c>
      <c r="I50" s="280">
        <f>IF($C50&gt;2,ROUND($B50/$C50,2),$B50-SUM(F50:H50))</f>
        <v>-1253.6199999999999</v>
      </c>
      <c r="J50" s="280">
        <f>IF($C50&gt;3,ROUND($B50/$C50,2),$B50-SUM(F50:I50))</f>
        <v>-1253.6199999999999</v>
      </c>
      <c r="K50" s="280">
        <f>IF($C50&gt;4,ROUND($B50/$C50,2),$B50-SUM(G50:J50))</f>
        <v>-1253.6199999999999</v>
      </c>
      <c r="L50" s="280">
        <f>IF($C50&gt;5,ROUND($B50/$C50,2),$B50-SUM(H50:K50))</f>
        <v>-388.63000000000011</v>
      </c>
      <c r="M50" s="280"/>
      <c r="N50" s="280"/>
      <c r="O50" s="255"/>
      <c r="P50" s="255"/>
      <c r="Q50" s="255"/>
      <c r="R50" s="274"/>
    </row>
    <row r="51" spans="1:18" x14ac:dyDescent="0.25">
      <c r="A51" s="278">
        <v>43646</v>
      </c>
      <c r="B51" s="279">
        <f t="shared" si="5"/>
        <v>0</v>
      </c>
      <c r="C51" s="280">
        <f t="shared" si="6"/>
        <v>4.4400000000000004</v>
      </c>
      <c r="D51" s="255"/>
      <c r="E51" s="282"/>
      <c r="F51" s="282"/>
      <c r="G51" s="282"/>
      <c r="H51" s="282"/>
      <c r="I51" s="280">
        <f>IF($C51&gt;2,ROUND($B51/$C51,2),$B51-SUM(G51:H51))</f>
        <v>0</v>
      </c>
      <c r="J51" s="280">
        <f>IF($C51&gt;2,ROUND($B51/$C51,2),$B51-SUM(G51:I51))</f>
        <v>0</v>
      </c>
      <c r="K51" s="280">
        <f>IF($C51&gt;3,ROUND($B51/$C51,2),$B51-SUM(G51:J51))</f>
        <v>0</v>
      </c>
      <c r="L51" s="280">
        <f>IF($C51&gt;4,ROUND($B51/$C51,2),$B51-SUM(H51:K51))</f>
        <v>0</v>
      </c>
      <c r="M51" s="280">
        <f>IF($C51&gt;5,ROUND($B51/$C51,2),$B51-SUM(I51:L51))</f>
        <v>0</v>
      </c>
      <c r="N51" s="280"/>
      <c r="O51" s="255"/>
      <c r="P51" s="255"/>
      <c r="Q51" s="255"/>
      <c r="R51" s="274"/>
    </row>
    <row r="52" spans="1:18" x14ac:dyDescent="0.25">
      <c r="A52" s="278">
        <v>44012</v>
      </c>
      <c r="B52" s="279">
        <f t="shared" si="5"/>
        <v>-4887.07</v>
      </c>
      <c r="C52" s="280">
        <f t="shared" si="6"/>
        <v>4.34</v>
      </c>
      <c r="D52" s="255"/>
      <c r="E52" s="282"/>
      <c r="F52" s="282"/>
      <c r="G52" s="282"/>
      <c r="H52" s="282"/>
      <c r="I52" s="282"/>
      <c r="J52" s="280">
        <f>IF($C52&gt;2,ROUND($B52/$C52,2),$B52-SUM(H52:I52))</f>
        <v>-1126.05</v>
      </c>
      <c r="K52" s="280">
        <f>IF($C52&gt;2,ROUND($B52/$C52,2),$B52-SUM(H52:J52))</f>
        <v>-1126.05</v>
      </c>
      <c r="L52" s="280">
        <f>IF($C52&gt;3,ROUND($B52/$C52,2),$B52-SUM(H52:K52))</f>
        <v>-1126.05</v>
      </c>
      <c r="M52" s="280">
        <f>IF($C52&gt;4,ROUND($B52/$C52,2),$B52-SUM(H52:L52))</f>
        <v>-1126.05</v>
      </c>
      <c r="N52" s="280">
        <f>IF($C52&gt;5,ROUND($B52/$C52,2),$B52-SUM(H52:M52))</f>
        <v>-382.86999999999989</v>
      </c>
      <c r="O52" s="255"/>
      <c r="P52" s="255"/>
      <c r="Q52" s="255"/>
      <c r="R52" s="274"/>
    </row>
    <row r="53" spans="1:18" x14ac:dyDescent="0.25">
      <c r="A53" s="278">
        <v>44377</v>
      </c>
      <c r="B53" s="279">
        <f t="shared" si="5"/>
        <v>0</v>
      </c>
      <c r="C53" s="280">
        <f t="shared" si="6"/>
        <v>4.25</v>
      </c>
      <c r="D53" s="255"/>
      <c r="E53" s="282"/>
      <c r="F53" s="282"/>
      <c r="G53" s="282"/>
      <c r="H53" s="282"/>
      <c r="I53" s="282"/>
      <c r="J53" s="282"/>
      <c r="K53" s="280">
        <f>IF($C53&gt;2,ROUND($B53/$C53,2),$B53-SUM(I53:J53))</f>
        <v>0</v>
      </c>
      <c r="L53" s="280">
        <f>IF($C53&gt;2,ROUND($B53/$C53,2),$B53-SUM(I53:K53))</f>
        <v>0</v>
      </c>
      <c r="M53" s="280">
        <f>IF($C53&gt;3,ROUND($B53/$C53,2),$B53-SUM(I53:L53))</f>
        <v>0</v>
      </c>
      <c r="N53" s="280">
        <f>IF($C53&gt;4,ROUND($B53/$C53,2),$B53-SUM(I53:M53))</f>
        <v>0</v>
      </c>
      <c r="O53" s="280">
        <f>IF($C53&gt;5,ROUND($B53/$C53,2),$B53-SUM(I53:N53))</f>
        <v>0</v>
      </c>
      <c r="P53" s="255"/>
      <c r="Q53" s="255"/>
      <c r="R53" s="274"/>
    </row>
    <row r="54" spans="1:18" x14ac:dyDescent="0.25">
      <c r="A54" s="278">
        <v>44742</v>
      </c>
      <c r="B54" s="279">
        <f t="shared" si="5"/>
        <v>-4325.54</v>
      </c>
      <c r="C54" s="280">
        <f t="shared" si="6"/>
        <v>4.3899999999999997</v>
      </c>
      <c r="D54" s="255"/>
      <c r="E54" s="282"/>
      <c r="F54" s="282"/>
      <c r="G54" s="282"/>
      <c r="H54" s="282"/>
      <c r="I54" s="282"/>
      <c r="J54" s="282"/>
      <c r="K54" s="280"/>
      <c r="L54" s="280">
        <f>IF($C54&gt;2,ROUND($B54/$C54,2),$B54-SUM(J54:K54))</f>
        <v>-985.32</v>
      </c>
      <c r="M54" s="280">
        <f>IF($C54&gt;2,ROUND($B54/$C54,2),$B54-SUM(J54:L54))</f>
        <v>-985.32</v>
      </c>
      <c r="N54" s="280">
        <f>IF($C54&gt;3,ROUND($B54/$C54,2),$B54-SUM(J54:M54))</f>
        <v>-985.32</v>
      </c>
      <c r="O54" s="280">
        <f>IF($C54&gt;4,ROUND($B54/$C54,2),$B54-SUM(J54:N54))</f>
        <v>-985.32</v>
      </c>
      <c r="P54" s="280">
        <f>IF($C54&gt;5,ROUND($B54/$C54,2),$B54-SUM(J54:O54))</f>
        <v>-384.25999999999976</v>
      </c>
      <c r="Q54" s="255"/>
      <c r="R54" s="274"/>
    </row>
    <row r="55" spans="1:18" x14ac:dyDescent="0.25">
      <c r="A55" s="278">
        <v>45107</v>
      </c>
      <c r="B55" s="279">
        <f t="shared" ref="B55" si="7">IF(B20&lt;0,B20,0)</f>
        <v>0</v>
      </c>
      <c r="C55" s="280">
        <f t="shared" ref="C55" si="8">C20</f>
        <v>4.33</v>
      </c>
      <c r="D55" s="255"/>
      <c r="E55" s="282"/>
      <c r="F55" s="282"/>
      <c r="G55" s="282"/>
      <c r="H55" s="282"/>
      <c r="I55" s="282"/>
      <c r="J55" s="282"/>
      <c r="K55" s="280"/>
      <c r="L55" s="280"/>
      <c r="M55" s="280">
        <f>IF($C55&gt;2,ROUND($B55/$C55,2),$B55-SUM(K55:L55))</f>
        <v>0</v>
      </c>
      <c r="N55" s="280">
        <f>IF($C55&gt;2,ROUND($B55/$C55,2),$B55-SUM(K55:M55))</f>
        <v>0</v>
      </c>
      <c r="O55" s="280">
        <f>IF($C55&gt;3,ROUND($B55/$C55,2),$B55-SUM(K55:N55))</f>
        <v>0</v>
      </c>
      <c r="P55" s="280">
        <f>IF($C55&gt;4,ROUND($B55/$C55,2),$B55-SUM(K55:O55))</f>
        <v>0</v>
      </c>
      <c r="Q55" s="280">
        <f>IF($C55&gt;5,ROUND($B55/$C55,2),$B55-SUM(K55:P55))</f>
        <v>0</v>
      </c>
      <c r="R55" s="274"/>
    </row>
    <row r="56" spans="1:18" x14ac:dyDescent="0.25">
      <c r="A56" s="283"/>
      <c r="B56" s="255"/>
      <c r="C56" s="255"/>
      <c r="D56" s="255"/>
      <c r="E56" s="284"/>
      <c r="F56" s="284"/>
      <c r="G56" s="284"/>
      <c r="H56" s="284"/>
      <c r="I56" s="284"/>
      <c r="J56" s="284"/>
      <c r="K56" s="255"/>
      <c r="L56" s="255"/>
      <c r="M56" s="255"/>
      <c r="N56" s="255"/>
      <c r="O56" s="255"/>
      <c r="P56" s="255"/>
      <c r="Q56" s="255"/>
      <c r="R56" s="274"/>
    </row>
    <row r="57" spans="1:18" x14ac:dyDescent="0.25">
      <c r="A57" s="285" t="s">
        <v>121</v>
      </c>
      <c r="B57" s="255"/>
      <c r="C57" s="255"/>
      <c r="D57" s="286">
        <f t="shared" ref="D57:N57" si="9">SUM(D46:D55)</f>
        <v>0</v>
      </c>
      <c r="E57" s="282">
        <f t="shared" si="9"/>
        <v>0</v>
      </c>
      <c r="F57" s="282">
        <f t="shared" si="9"/>
        <v>-231.61</v>
      </c>
      <c r="G57" s="282">
        <f t="shared" si="9"/>
        <v>-231.61</v>
      </c>
      <c r="H57" s="282">
        <f t="shared" si="9"/>
        <v>-1485.23</v>
      </c>
      <c r="I57" s="282">
        <f t="shared" si="9"/>
        <v>-1485.23</v>
      </c>
      <c r="J57" s="282">
        <f t="shared" si="9"/>
        <v>-2467.6899999999996</v>
      </c>
      <c r="K57" s="282">
        <f t="shared" si="9"/>
        <v>-2379.67</v>
      </c>
      <c r="L57" s="282">
        <f t="shared" si="9"/>
        <v>-2500</v>
      </c>
      <c r="M57" s="282">
        <f t="shared" si="9"/>
        <v>-2111.37</v>
      </c>
      <c r="N57" s="282">
        <f t="shared" si="9"/>
        <v>-1368.19</v>
      </c>
      <c r="O57" s="282">
        <f>SUM(O46:O55)</f>
        <v>-985.32</v>
      </c>
      <c r="P57" s="282">
        <f>SUM(P46:P55)</f>
        <v>-384.25999999999976</v>
      </c>
      <c r="Q57" s="282">
        <f>SUM(Q46:Q55)</f>
        <v>0</v>
      </c>
      <c r="R57" s="274"/>
    </row>
    <row r="58" spans="1:18" x14ac:dyDescent="0.25">
      <c r="A58" s="287"/>
      <c r="B58" s="255"/>
      <c r="C58" s="255"/>
      <c r="D58" s="286"/>
      <c r="E58" s="282"/>
      <c r="F58" s="282"/>
      <c r="G58" s="282"/>
      <c r="H58" s="282"/>
      <c r="I58" s="282"/>
      <c r="J58" s="282"/>
      <c r="K58" s="255"/>
      <c r="L58" s="255"/>
      <c r="M58" s="255"/>
      <c r="N58" s="255"/>
      <c r="O58" s="255"/>
      <c r="P58" s="255"/>
      <c r="Q58" s="255"/>
      <c r="R58" s="274"/>
    </row>
    <row r="59" spans="1:18" x14ac:dyDescent="0.25">
      <c r="A59" s="285" t="s">
        <v>810</v>
      </c>
      <c r="B59" s="368"/>
      <c r="C59" s="255"/>
      <c r="D59" s="286">
        <f>SUM(E46:J46)</f>
        <v>0</v>
      </c>
      <c r="E59" s="282">
        <f>SUM(F46:K47)</f>
        <v>0</v>
      </c>
      <c r="F59" s="282">
        <f>SUM(G46:K48)</f>
        <v>-782.85</v>
      </c>
      <c r="G59" s="282">
        <f>SUM(H46:K49)</f>
        <v>-551.24</v>
      </c>
      <c r="H59" s="282">
        <f>SUM(I46:L50)</f>
        <v>-4469.12</v>
      </c>
      <c r="I59" s="282">
        <f>SUM(J46:M51)</f>
        <v>-2983.89</v>
      </c>
      <c r="J59" s="282">
        <f>SUM(K46:N52)</f>
        <v>-5403.27</v>
      </c>
      <c r="K59" s="282">
        <f>SUM(L46:O53)</f>
        <v>-3023.6</v>
      </c>
      <c r="L59" s="282">
        <f>SUM(M46:P54)</f>
        <v>-4849.1399999999994</v>
      </c>
      <c r="M59" s="282">
        <f t="shared" ref="M59:Q59" si="10">SUM(N46:Q56)</f>
        <v>-2737.77</v>
      </c>
      <c r="N59" s="282">
        <f t="shared" si="10"/>
        <v>-1369.58</v>
      </c>
      <c r="O59" s="282">
        <f>SUM(P46:S56)</f>
        <v>-384.25999999999976</v>
      </c>
      <c r="P59" s="282">
        <f t="shared" si="10"/>
        <v>0</v>
      </c>
      <c r="Q59" s="282">
        <f t="shared" si="10"/>
        <v>0</v>
      </c>
      <c r="R59" s="274"/>
    </row>
    <row r="60" spans="1:18" ht="14.4" thickBot="1" x14ac:dyDescent="0.3">
      <c r="A60" s="288"/>
      <c r="B60" s="289"/>
      <c r="C60" s="289"/>
      <c r="D60" s="290"/>
      <c r="E60" s="291"/>
      <c r="F60" s="291"/>
      <c r="G60" s="291"/>
      <c r="H60" s="291"/>
      <c r="I60" s="291"/>
      <c r="J60" s="291"/>
      <c r="K60" s="289"/>
      <c r="L60" s="289"/>
      <c r="M60" s="289"/>
      <c r="N60" s="289"/>
      <c r="O60" s="289"/>
      <c r="P60" s="289"/>
      <c r="Q60" s="289"/>
      <c r="R60" s="292"/>
    </row>
    <row r="61" spans="1:18" x14ac:dyDescent="0.25">
      <c r="A61" s="99"/>
      <c r="D61" s="100"/>
      <c r="E61" s="257"/>
      <c r="F61" s="257"/>
      <c r="G61" s="257"/>
      <c r="H61" s="257"/>
      <c r="I61" s="257"/>
      <c r="J61" s="257"/>
      <c r="Q61" s="255"/>
      <c r="R61" s="255"/>
    </row>
  </sheetData>
  <mergeCells count="3">
    <mergeCell ref="D23:P23"/>
    <mergeCell ref="D43:P43"/>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topLeftCell="A17" zoomScaleNormal="100" workbookViewId="0">
      <selection activeCell="E25" sqref="E25"/>
    </sheetView>
  </sheetViews>
  <sheetFormatPr defaultColWidth="9.109375" defaultRowHeight="13.8" x14ac:dyDescent="0.25"/>
  <cols>
    <col min="1" max="1" width="96.109375" style="103" customWidth="1"/>
    <col min="2" max="16384" width="9.109375" style="103"/>
  </cols>
  <sheetData>
    <row r="1" spans="1:21" ht="15.6" x14ac:dyDescent="0.3">
      <c r="A1" s="376" t="s">
        <v>837</v>
      </c>
      <c r="B1" s="323"/>
      <c r="C1" s="323"/>
      <c r="D1" s="323"/>
      <c r="E1" s="323"/>
      <c r="F1" s="323"/>
      <c r="G1" s="323"/>
      <c r="H1" s="323"/>
      <c r="I1" s="323"/>
      <c r="J1" s="323"/>
      <c r="K1" s="323"/>
      <c r="L1" s="323"/>
      <c r="M1" s="323"/>
      <c r="N1" s="323"/>
      <c r="O1" s="323"/>
      <c r="P1" s="323"/>
      <c r="Q1" s="323"/>
      <c r="R1" s="323"/>
      <c r="S1" s="323"/>
      <c r="T1" s="323"/>
      <c r="U1" s="323"/>
    </row>
    <row r="2" spans="1:21" ht="15.6" x14ac:dyDescent="0.3">
      <c r="A2" s="376" t="s">
        <v>838</v>
      </c>
    </row>
    <row r="3" spans="1:21" ht="15.6" x14ac:dyDescent="0.25">
      <c r="A3" s="157" t="s">
        <v>758</v>
      </c>
    </row>
    <row r="4" spans="1:21" ht="15" x14ac:dyDescent="0.25">
      <c r="A4" s="158" t="s">
        <v>313</v>
      </c>
    </row>
    <row r="5" spans="1:21" ht="15" x14ac:dyDescent="0.25">
      <c r="A5" s="3" t="s">
        <v>866</v>
      </c>
    </row>
    <row r="7" spans="1:21" x14ac:dyDescent="0.25">
      <c r="A7" s="346" t="s">
        <v>873</v>
      </c>
    </row>
    <row r="8" spans="1:21" ht="6.6" customHeight="1" x14ac:dyDescent="0.25"/>
    <row r="9" spans="1:21" ht="41.4" x14ac:dyDescent="0.25">
      <c r="A9" s="356" t="s">
        <v>932</v>
      </c>
    </row>
    <row r="10" spans="1:21" ht="6.75" customHeight="1" x14ac:dyDescent="0.25"/>
    <row r="11" spans="1:21" x14ac:dyDescent="0.25">
      <c r="A11" s="103" t="s">
        <v>939</v>
      </c>
    </row>
    <row r="12" spans="1:21" ht="16.8" customHeight="1" x14ac:dyDescent="0.25"/>
    <row r="13" spans="1:21" x14ac:dyDescent="0.25">
      <c r="A13" s="348" t="s">
        <v>874</v>
      </c>
    </row>
    <row r="14" spans="1:21" ht="8.25" customHeight="1" x14ac:dyDescent="0.25">
      <c r="A14" s="159"/>
    </row>
    <row r="15" spans="1:21" ht="27.6" x14ac:dyDescent="0.25">
      <c r="A15" s="347" t="s">
        <v>933</v>
      </c>
    </row>
    <row r="16" spans="1:21" ht="16.8" customHeight="1" x14ac:dyDescent="0.25">
      <c r="A16" s="347"/>
    </row>
    <row r="17" spans="1:1" x14ac:dyDescent="0.25">
      <c r="A17" s="348" t="s">
        <v>876</v>
      </c>
    </row>
    <row r="18" spans="1:1" ht="4.2" customHeight="1" x14ac:dyDescent="0.25">
      <c r="A18" s="348"/>
    </row>
    <row r="19" spans="1:1" ht="19.8" customHeight="1" x14ac:dyDescent="0.25">
      <c r="A19" s="103" t="s">
        <v>934</v>
      </c>
    </row>
    <row r="20" spans="1:1" ht="19.2" customHeight="1" x14ac:dyDescent="0.25"/>
    <row r="21" spans="1:1" x14ac:dyDescent="0.25">
      <c r="A21" s="348" t="s">
        <v>875</v>
      </c>
    </row>
    <row r="22" spans="1:1" ht="9" customHeight="1" x14ac:dyDescent="0.25">
      <c r="A22" s="334"/>
    </row>
    <row r="23" spans="1:1" ht="69" x14ac:dyDescent="0.25">
      <c r="A23" s="334" t="s">
        <v>935</v>
      </c>
    </row>
    <row r="24" spans="1:1" ht="6.75" customHeight="1" x14ac:dyDescent="0.25">
      <c r="A24" s="347"/>
    </row>
    <row r="25" spans="1:1" ht="55.2" x14ac:dyDescent="0.25">
      <c r="A25" s="334" t="s">
        <v>936</v>
      </c>
    </row>
    <row r="26" spans="1:1" ht="8.25" customHeight="1" x14ac:dyDescent="0.25">
      <c r="A26" s="347"/>
    </row>
    <row r="27" spans="1:1" ht="55.2" x14ac:dyDescent="0.25">
      <c r="A27" s="334" t="s">
        <v>937</v>
      </c>
    </row>
    <row r="28" spans="1:1" ht="9" customHeight="1" x14ac:dyDescent="0.25">
      <c r="A28" s="347"/>
    </row>
    <row r="29" spans="1:1" ht="55.2" x14ac:dyDescent="0.25">
      <c r="A29" s="334" t="s">
        <v>938</v>
      </c>
    </row>
    <row r="30" spans="1:1" x14ac:dyDescent="0.25">
      <c r="A30" s="347"/>
    </row>
    <row r="31" spans="1:1" x14ac:dyDescent="0.25">
      <c r="A31" s="334"/>
    </row>
    <row r="32" spans="1:1" ht="151.80000000000001" x14ac:dyDescent="0.25">
      <c r="A32" s="160" t="s">
        <v>869</v>
      </c>
    </row>
    <row r="33" spans="1:1" x14ac:dyDescent="0.25">
      <c r="A33" s="161"/>
    </row>
  </sheetData>
  <pageMargins left="0.7" right="0.7"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0"/>
  <sheetViews>
    <sheetView topLeftCell="A2" zoomScaleNormal="100" workbookViewId="0">
      <pane xSplit="1" topLeftCell="M1" activePane="topRight" state="frozen"/>
      <selection pane="topRight" activeCell="V28" sqref="V28"/>
    </sheetView>
  </sheetViews>
  <sheetFormatPr defaultRowHeight="14.4" x14ac:dyDescent="0.3"/>
  <cols>
    <col min="1" max="1" width="27.44140625" customWidth="1"/>
    <col min="2" max="2" width="18.5546875" style="308" customWidth="1"/>
    <col min="3" max="3" width="17.6640625" style="30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44" customWidth="1"/>
    <col min="13" max="13" width="18.109375" style="344" customWidth="1"/>
    <col min="14" max="14" width="18.44140625" style="354" customWidth="1"/>
    <col min="15" max="15" width="18.109375" style="354" customWidth="1"/>
    <col min="16" max="16" width="18.44140625" style="366" customWidth="1"/>
    <col min="17" max="17" width="18.109375" style="366" customWidth="1"/>
    <col min="18" max="18" width="18.44140625" style="375" customWidth="1"/>
    <col min="19" max="19" width="18.109375" style="375" customWidth="1"/>
    <col min="20" max="20" width="18.44140625" style="337" customWidth="1"/>
    <col min="21" max="21" width="18.109375" style="337" customWidth="1"/>
  </cols>
  <sheetData>
    <row r="1" spans="1:21" s="61" customFormat="1" x14ac:dyDescent="0.3">
      <c r="A1" s="310" t="s">
        <v>788</v>
      </c>
      <c r="B1" s="311"/>
      <c r="C1" s="210"/>
      <c r="D1" s="316"/>
      <c r="L1" s="344"/>
      <c r="M1" s="344"/>
      <c r="N1" s="354"/>
      <c r="O1" s="354"/>
      <c r="P1" s="366"/>
      <c r="Q1" s="366"/>
      <c r="R1" s="375"/>
      <c r="S1" s="375"/>
      <c r="T1" s="337"/>
      <c r="U1" s="337"/>
    </row>
    <row r="2" spans="1:21" s="61" customFormat="1" x14ac:dyDescent="0.3">
      <c r="A2" s="312" t="s">
        <v>789</v>
      </c>
      <c r="B2" s="313"/>
      <c r="C2" s="210"/>
      <c r="D2" s="317"/>
      <c r="L2" s="344"/>
      <c r="M2" s="344"/>
      <c r="N2" s="354"/>
      <c r="O2" s="354"/>
      <c r="P2" s="366"/>
      <c r="Q2" s="366"/>
      <c r="R2" s="375"/>
      <c r="S2" s="375"/>
      <c r="T2" s="337"/>
      <c r="U2" s="337"/>
    </row>
    <row r="3" spans="1:21" s="61" customFormat="1" ht="15" thickBot="1" x14ac:dyDescent="0.35">
      <c r="A3" s="314"/>
      <c r="B3" s="315"/>
      <c r="C3" s="318"/>
      <c r="D3" s="318"/>
      <c r="L3" s="344"/>
      <c r="M3" s="344"/>
      <c r="N3" s="354"/>
      <c r="O3" s="354"/>
      <c r="P3" s="366"/>
      <c r="Q3" s="366"/>
      <c r="R3" s="375"/>
      <c r="S3" s="375"/>
      <c r="T3" s="337"/>
      <c r="U3" s="337"/>
    </row>
    <row r="4" spans="1:21" s="61" customFormat="1" ht="9.75" customHeight="1" x14ac:dyDescent="0.3">
      <c r="B4" s="308"/>
      <c r="C4" s="308"/>
      <c r="L4" s="344"/>
      <c r="M4" s="344"/>
      <c r="N4" s="354"/>
      <c r="O4" s="354"/>
      <c r="P4" s="366"/>
      <c r="Q4" s="366"/>
      <c r="R4" s="375"/>
      <c r="S4" s="375"/>
      <c r="T4" s="337"/>
      <c r="U4" s="337"/>
    </row>
    <row r="5" spans="1:21" x14ac:dyDescent="0.3">
      <c r="A5" s="62" t="s">
        <v>118</v>
      </c>
    </row>
    <row r="6" spans="1:21" s="63" customFormat="1" x14ac:dyDescent="0.3">
      <c r="A6" s="182" t="s">
        <v>151</v>
      </c>
    </row>
    <row r="7" spans="1:21" ht="28.8" x14ac:dyDescent="0.3">
      <c r="A7" t="s">
        <v>94</v>
      </c>
      <c r="B7" s="56" t="s">
        <v>95</v>
      </c>
      <c r="C7" s="56" t="s">
        <v>96</v>
      </c>
      <c r="D7" s="56" t="s">
        <v>97</v>
      </c>
      <c r="E7" s="56" t="s">
        <v>98</v>
      </c>
      <c r="F7" s="56" t="s">
        <v>99</v>
      </c>
      <c r="G7" s="56" t="s">
        <v>100</v>
      </c>
      <c r="H7" s="56" t="s">
        <v>101</v>
      </c>
      <c r="I7" s="56" t="s">
        <v>102</v>
      </c>
      <c r="J7" s="56" t="s">
        <v>830</v>
      </c>
      <c r="K7" s="56" t="s">
        <v>829</v>
      </c>
      <c r="L7" s="56" t="s">
        <v>870</v>
      </c>
      <c r="M7" s="56" t="s">
        <v>871</v>
      </c>
      <c r="N7" s="56" t="s">
        <v>878</v>
      </c>
      <c r="O7" s="56" t="s">
        <v>879</v>
      </c>
      <c r="P7" s="56" t="s">
        <v>882</v>
      </c>
      <c r="Q7" s="56" t="s">
        <v>883</v>
      </c>
      <c r="R7" s="56" t="s">
        <v>885</v>
      </c>
      <c r="S7" s="56" t="s">
        <v>886</v>
      </c>
      <c r="T7" s="56" t="s">
        <v>925</v>
      </c>
      <c r="U7" s="56" t="s">
        <v>926</v>
      </c>
    </row>
    <row r="9" spans="1:21"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row>
    <row r="10" spans="1:21"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row>
    <row r="11" spans="1:21"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row>
    <row r="12" spans="1:21"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row>
    <row r="13" spans="1:21"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row>
    <row r="14" spans="1:21"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row>
    <row r="15" spans="1:21" x14ac:dyDescent="0.3">
      <c r="A15" s="58" t="s">
        <v>109</v>
      </c>
      <c r="B15" s="258">
        <f t="shared" ref="B15:C15" si="0">SUM(B9:B14)</f>
        <v>21699.480000000003</v>
      </c>
      <c r="C15" s="258">
        <f t="shared" si="0"/>
        <v>361657.98000000004</v>
      </c>
      <c r="D15" s="258">
        <f t="shared" ref="D15:K15" si="1">SUM(D9:D14)</f>
        <v>21699.52</v>
      </c>
      <c r="E15" s="258">
        <f t="shared" si="1"/>
        <v>361658.66000000003</v>
      </c>
      <c r="F15" s="258">
        <f t="shared" si="1"/>
        <v>22720.5</v>
      </c>
      <c r="G15" s="258">
        <f t="shared" si="1"/>
        <v>378675</v>
      </c>
      <c r="H15" s="258">
        <f t="shared" si="1"/>
        <v>22224.52</v>
      </c>
      <c r="I15" s="258">
        <f t="shared" si="1"/>
        <v>370408.66000000003</v>
      </c>
      <c r="J15" s="258">
        <f>SUM(J9:J14)</f>
        <v>23232</v>
      </c>
      <c r="K15" s="258">
        <f t="shared" si="1"/>
        <v>387199.98000000004</v>
      </c>
      <c r="L15" s="258">
        <f>SUM(L9:L14)</f>
        <v>22219.5</v>
      </c>
      <c r="M15" s="258">
        <f t="shared" ref="M15:U15" si="2">SUM(M9:M14)</f>
        <v>370324.98000000004</v>
      </c>
      <c r="N15" s="258">
        <f>SUM(N9:N14)</f>
        <v>24525.98</v>
      </c>
      <c r="O15" s="258">
        <f t="shared" ref="O15" si="3">SUM(O9:O14)</f>
        <v>408766.35999999993</v>
      </c>
      <c r="P15" s="258">
        <f>SUM(P9:P14)</f>
        <v>26745.98</v>
      </c>
      <c r="Q15" s="258">
        <f t="shared" ref="Q15" si="4">SUM(Q9:Q14)</f>
        <v>445766.36</v>
      </c>
      <c r="R15" s="258">
        <f>SUM(R9:R14)</f>
        <v>29736</v>
      </c>
      <c r="S15" s="258">
        <f t="shared" ref="S15" si="5">SUM(S9:S14)</f>
        <v>495600</v>
      </c>
      <c r="T15" s="258">
        <f>SUM(T9:T14)</f>
        <v>30239.02</v>
      </c>
      <c r="U15" s="258">
        <f t="shared" si="2"/>
        <v>503983.68</v>
      </c>
    </row>
    <row r="16" spans="1:21" x14ac:dyDescent="0.3">
      <c r="B16" s="57"/>
      <c r="C16" s="57"/>
      <c r="D16" s="57"/>
      <c r="E16" s="57"/>
      <c r="F16" s="57"/>
      <c r="G16" s="57"/>
      <c r="H16" s="57"/>
      <c r="I16" s="57"/>
      <c r="J16" s="57"/>
      <c r="K16" s="57"/>
      <c r="L16" s="57"/>
      <c r="M16" s="57"/>
      <c r="N16" s="57"/>
      <c r="O16" s="57"/>
      <c r="P16" s="57"/>
      <c r="Q16" s="57"/>
      <c r="R16" s="57"/>
      <c r="S16" s="57"/>
      <c r="T16" s="57"/>
      <c r="U16" s="57"/>
    </row>
    <row r="17" spans="1:21"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5266.62</v>
      </c>
      <c r="U17" s="65">
        <v>87777</v>
      </c>
    </row>
    <row r="18" spans="1:21"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5266.62</v>
      </c>
      <c r="U18" s="65">
        <v>87777</v>
      </c>
    </row>
    <row r="19" spans="1:21"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5266.62</v>
      </c>
      <c r="U19" s="65">
        <v>87777</v>
      </c>
    </row>
    <row r="20" spans="1:21"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5266.62</v>
      </c>
      <c r="U20" s="65">
        <v>87777</v>
      </c>
    </row>
    <row r="21" spans="1:21"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5266.62</v>
      </c>
      <c r="U21" s="65">
        <v>87777</v>
      </c>
    </row>
    <row r="22" spans="1:21"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5266.62</v>
      </c>
      <c r="U22" s="65">
        <v>87777</v>
      </c>
    </row>
    <row r="23" spans="1:21" x14ac:dyDescent="0.3">
      <c r="A23" s="58" t="s">
        <v>116</v>
      </c>
      <c r="B23" s="258">
        <f t="shared" ref="B23:C23" si="6">SUM(B17:B22)</f>
        <v>21699.480000000003</v>
      </c>
      <c r="C23" s="258">
        <f t="shared" si="6"/>
        <v>361657.98000000004</v>
      </c>
      <c r="D23" s="258">
        <f t="shared" ref="D23:S23" si="7">SUM(D17:D22)</f>
        <v>22720.5</v>
      </c>
      <c r="E23" s="258">
        <f t="shared" si="7"/>
        <v>378675</v>
      </c>
      <c r="F23" s="258">
        <f t="shared" si="7"/>
        <v>22224.480000000003</v>
      </c>
      <c r="G23" s="258">
        <f t="shared" si="7"/>
        <v>370408.01999999996</v>
      </c>
      <c r="H23" s="258">
        <f t="shared" si="7"/>
        <v>23232</v>
      </c>
      <c r="I23" s="258">
        <f t="shared" si="7"/>
        <v>387199.98000000004</v>
      </c>
      <c r="J23" s="258">
        <f t="shared" si="7"/>
        <v>22219.5</v>
      </c>
      <c r="K23" s="258">
        <f t="shared" si="7"/>
        <v>370324.98000000004</v>
      </c>
      <c r="L23" s="258">
        <f t="shared" si="7"/>
        <v>24526.019999999997</v>
      </c>
      <c r="M23" s="258">
        <f t="shared" si="7"/>
        <v>408767.03999999992</v>
      </c>
      <c r="N23" s="258">
        <f t="shared" si="7"/>
        <v>26746.019999999997</v>
      </c>
      <c r="O23" s="258">
        <f t="shared" si="7"/>
        <v>445767</v>
      </c>
      <c r="P23" s="258">
        <f t="shared" si="7"/>
        <v>29736</v>
      </c>
      <c r="Q23" s="258">
        <f t="shared" si="7"/>
        <v>495600</v>
      </c>
      <c r="R23" s="258">
        <f t="shared" si="7"/>
        <v>30238.980000000003</v>
      </c>
      <c r="S23" s="258">
        <f t="shared" si="7"/>
        <v>503983.01999999996</v>
      </c>
      <c r="T23" s="258">
        <f t="shared" ref="T23:U23" si="8">SUM(T17:T22)</f>
        <v>31599.719999999998</v>
      </c>
      <c r="U23" s="258">
        <f t="shared" si="8"/>
        <v>526662</v>
      </c>
    </row>
    <row r="24" spans="1:21" x14ac:dyDescent="0.3">
      <c r="B24" s="129"/>
      <c r="C24" s="129"/>
      <c r="D24" s="129"/>
      <c r="E24" s="129"/>
      <c r="F24" s="129"/>
      <c r="G24" s="129"/>
      <c r="H24" s="129"/>
      <c r="I24" s="129"/>
      <c r="J24" s="129"/>
      <c r="K24" s="129"/>
      <c r="L24" s="129"/>
      <c r="M24" s="129"/>
      <c r="N24" s="129"/>
      <c r="O24" s="129"/>
      <c r="P24" s="129"/>
      <c r="Q24" s="129"/>
      <c r="R24" s="129"/>
      <c r="S24" s="129"/>
      <c r="T24" s="129"/>
      <c r="U24" s="129"/>
    </row>
    <row r="25" spans="1:21" ht="15" thickBot="1" x14ac:dyDescent="0.35">
      <c r="A25" s="59" t="s">
        <v>119</v>
      </c>
      <c r="B25" s="145">
        <f t="shared" ref="B25:C25" si="9">B23+B15</f>
        <v>43398.960000000006</v>
      </c>
      <c r="C25" s="145">
        <f t="shared" si="9"/>
        <v>723315.96000000008</v>
      </c>
      <c r="D25" s="145">
        <f t="shared" ref="D25:S25" si="10">D23+D15</f>
        <v>44420.020000000004</v>
      </c>
      <c r="E25" s="145">
        <f t="shared" si="10"/>
        <v>740333.66</v>
      </c>
      <c r="F25" s="145">
        <f t="shared" si="10"/>
        <v>44944.98</v>
      </c>
      <c r="G25" s="145">
        <f t="shared" si="10"/>
        <v>749083.02</v>
      </c>
      <c r="H25" s="145">
        <f t="shared" si="10"/>
        <v>45456.520000000004</v>
      </c>
      <c r="I25" s="145">
        <f t="shared" si="10"/>
        <v>757608.64000000013</v>
      </c>
      <c r="J25" s="145">
        <f t="shared" si="10"/>
        <v>45451.5</v>
      </c>
      <c r="K25" s="145">
        <f t="shared" si="10"/>
        <v>757524.96000000008</v>
      </c>
      <c r="L25" s="145">
        <f t="shared" si="10"/>
        <v>46745.52</v>
      </c>
      <c r="M25" s="145">
        <f t="shared" si="10"/>
        <v>779092.02</v>
      </c>
      <c r="N25" s="145">
        <f t="shared" si="10"/>
        <v>51272</v>
      </c>
      <c r="O25" s="145">
        <f t="shared" si="10"/>
        <v>854533.35999999987</v>
      </c>
      <c r="P25" s="145">
        <f>P23+P15</f>
        <v>56481.979999999996</v>
      </c>
      <c r="Q25" s="145">
        <f t="shared" si="10"/>
        <v>941366.36</v>
      </c>
      <c r="R25" s="145">
        <f t="shared" si="10"/>
        <v>59974.98</v>
      </c>
      <c r="S25" s="145">
        <f t="shared" si="10"/>
        <v>999583.02</v>
      </c>
      <c r="T25" s="145">
        <f t="shared" ref="T25:U25" si="11">T23+T15</f>
        <v>61838.74</v>
      </c>
      <c r="U25" s="145">
        <f t="shared" si="11"/>
        <v>1030645.6799999999</v>
      </c>
    </row>
    <row r="26" spans="1:21" ht="15" thickTop="1" x14ac:dyDescent="0.3">
      <c r="B26" s="79"/>
      <c r="C26" s="79"/>
      <c r="D26" s="79"/>
      <c r="E26" s="79"/>
      <c r="F26" s="79"/>
      <c r="G26" s="79"/>
      <c r="H26" s="79"/>
      <c r="I26" s="79"/>
      <c r="J26" s="79"/>
      <c r="K26" s="79"/>
      <c r="L26" s="79"/>
      <c r="M26" s="79"/>
      <c r="N26" s="79"/>
      <c r="O26" s="79"/>
      <c r="P26" s="79"/>
      <c r="Q26" s="79"/>
      <c r="R26" s="79"/>
      <c r="S26" s="79"/>
      <c r="T26" s="79"/>
      <c r="U26" s="79"/>
    </row>
    <row r="27" spans="1:21" ht="15" thickBot="1" x14ac:dyDescent="0.35">
      <c r="A27" s="60" t="s">
        <v>152</v>
      </c>
      <c r="B27" s="145"/>
      <c r="C27" s="145"/>
      <c r="D27" s="145">
        <f>B23+D15</f>
        <v>43399</v>
      </c>
      <c r="E27" s="145">
        <f>C23+E15</f>
        <v>723316.64000000013</v>
      </c>
      <c r="F27" s="145">
        <f>D23+F15</f>
        <v>45441</v>
      </c>
      <c r="G27" s="145">
        <f>E23+G15</f>
        <v>757350</v>
      </c>
      <c r="H27" s="145">
        <f t="shared" ref="H27:I27" si="12">F23+H15</f>
        <v>44449</v>
      </c>
      <c r="I27" s="145">
        <f t="shared" si="12"/>
        <v>740816.67999999993</v>
      </c>
      <c r="J27" s="145">
        <f t="shared" ref="J27:M27" si="13">H23+J15</f>
        <v>46464</v>
      </c>
      <c r="K27" s="145">
        <f t="shared" si="13"/>
        <v>774399.96000000008</v>
      </c>
      <c r="L27" s="145">
        <f t="shared" si="13"/>
        <v>44439</v>
      </c>
      <c r="M27" s="145">
        <f t="shared" si="13"/>
        <v>740649.96000000008</v>
      </c>
      <c r="N27" s="145">
        <f t="shared" ref="N27:Q27" si="14">L23+N15</f>
        <v>49052</v>
      </c>
      <c r="O27" s="145">
        <f t="shared" si="14"/>
        <v>817533.39999999991</v>
      </c>
      <c r="P27" s="145">
        <f>N23+P15</f>
        <v>53492</v>
      </c>
      <c r="Q27" s="145">
        <f t="shared" si="14"/>
        <v>891533.36</v>
      </c>
      <c r="R27" s="145">
        <f>P23+R15</f>
        <v>59472</v>
      </c>
      <c r="S27" s="145">
        <f>Q23+S15</f>
        <v>991200</v>
      </c>
      <c r="T27" s="145">
        <f>R23+T15</f>
        <v>60478</v>
      </c>
      <c r="U27" s="145">
        <f>S23+U15</f>
        <v>1007966.7</v>
      </c>
    </row>
    <row r="28" spans="1:21" ht="15" thickTop="1" x14ac:dyDescent="0.3"/>
    <row r="30" spans="1:21" x14ac:dyDescent="0.3">
      <c r="A30" s="183"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3"/>
  <sheetViews>
    <sheetView tabSelected="1" zoomScaleNormal="100" workbookViewId="0">
      <selection activeCell="A2" sqref="A2:D2"/>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3" width="16.33203125" style="2" bestFit="1" customWidth="1"/>
    <col min="14" max="16384" width="9.109375" style="2"/>
  </cols>
  <sheetData>
    <row r="1" spans="1:12" s="96" customFormat="1" ht="13.8" x14ac:dyDescent="0.25">
      <c r="A1" s="394" t="s">
        <v>788</v>
      </c>
      <c r="B1" s="395"/>
      <c r="C1" s="395"/>
      <c r="D1" s="396"/>
    </row>
    <row r="2" spans="1:12" s="96" customFormat="1" ht="14.4" thickBot="1" x14ac:dyDescent="0.3">
      <c r="A2" s="397" t="s">
        <v>789</v>
      </c>
      <c r="B2" s="398"/>
      <c r="C2" s="398"/>
      <c r="D2" s="399"/>
    </row>
    <row r="3" spans="1:12" s="96" customFormat="1" ht="13.8" x14ac:dyDescent="0.25">
      <c r="A3" s="255"/>
    </row>
    <row r="4" spans="1:12" s="1" customFormat="1" ht="15.6" x14ac:dyDescent="0.3">
      <c r="A4" s="1" t="s">
        <v>915</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916</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317</v>
      </c>
      <c r="K17" s="3"/>
    </row>
    <row r="18" spans="1:11" s="306" customFormat="1" x14ac:dyDescent="0.25">
      <c r="A18" s="6">
        <v>42185</v>
      </c>
      <c r="B18" s="7">
        <v>999999</v>
      </c>
      <c r="C18" s="7"/>
      <c r="D18" s="7" t="s">
        <v>17</v>
      </c>
      <c r="E18" s="7"/>
      <c r="F18" s="8">
        <v>43399</v>
      </c>
      <c r="G18" s="7"/>
      <c r="H18" s="7">
        <v>3.9618200000000002E-4</v>
      </c>
      <c r="I18" s="3"/>
      <c r="J18" s="3">
        <v>4.4400000000000004</v>
      </c>
      <c r="K18" s="3"/>
    </row>
    <row r="19" spans="1:11" s="260"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36" customFormat="1" x14ac:dyDescent="0.25">
      <c r="A21" s="6">
        <v>43281</v>
      </c>
      <c r="B21" s="7">
        <v>999999</v>
      </c>
      <c r="C21" s="7"/>
      <c r="D21" s="7" t="s">
        <v>17</v>
      </c>
      <c r="E21" s="7"/>
      <c r="F21" s="8">
        <v>46464</v>
      </c>
      <c r="G21" s="7"/>
      <c r="H21" s="7">
        <v>3.7250400000000001E-4</v>
      </c>
      <c r="I21" s="3"/>
      <c r="J21" s="3">
        <v>4.3099999999999996</v>
      </c>
      <c r="K21" s="3"/>
    </row>
    <row r="22" spans="1:11" s="343" customFormat="1" x14ac:dyDescent="0.25">
      <c r="A22" s="6">
        <v>43646</v>
      </c>
      <c r="B22" s="7">
        <v>999999</v>
      </c>
      <c r="C22" s="7"/>
      <c r="D22" s="7" t="s">
        <v>17</v>
      </c>
      <c r="E22" s="7"/>
      <c r="F22" s="8">
        <v>44439</v>
      </c>
      <c r="G22" s="7"/>
      <c r="H22" s="7">
        <v>3.4834599999999997E-4</v>
      </c>
      <c r="I22" s="3"/>
      <c r="J22" s="3">
        <v>4.4400000000000004</v>
      </c>
      <c r="K22" s="3"/>
    </row>
    <row r="23" spans="1:11" s="353" customFormat="1" x14ac:dyDescent="0.25">
      <c r="A23" s="6">
        <v>44012</v>
      </c>
      <c r="B23" s="7">
        <v>999999</v>
      </c>
      <c r="C23" s="7"/>
      <c r="D23" s="7" t="s">
        <v>17</v>
      </c>
      <c r="E23" s="7"/>
      <c r="F23" s="8">
        <v>49052</v>
      </c>
      <c r="G23" s="7"/>
      <c r="H23" s="7">
        <v>3.7250599999999999E-4</v>
      </c>
      <c r="I23" s="3"/>
      <c r="J23" s="3">
        <v>4.34</v>
      </c>
      <c r="K23" s="3"/>
    </row>
    <row r="24" spans="1:11" s="363" customFormat="1" x14ac:dyDescent="0.25">
      <c r="A24" s="6">
        <v>44377</v>
      </c>
      <c r="B24" s="7">
        <v>999999</v>
      </c>
      <c r="C24" s="7"/>
      <c r="D24" s="7" t="s">
        <v>17</v>
      </c>
      <c r="E24" s="7"/>
      <c r="F24" s="8">
        <v>53492</v>
      </c>
      <c r="G24" s="7"/>
      <c r="H24" s="7">
        <v>3.9285999999999998E-4</v>
      </c>
      <c r="I24" s="3"/>
      <c r="J24" s="3">
        <v>4.25</v>
      </c>
      <c r="K24" s="3"/>
    </row>
    <row r="25" spans="1:11" s="370" customFormat="1" x14ac:dyDescent="0.25">
      <c r="A25" s="6">
        <v>44742</v>
      </c>
      <c r="B25" s="7">
        <v>999999</v>
      </c>
      <c r="C25" s="7"/>
      <c r="D25" s="7" t="s">
        <v>17</v>
      </c>
      <c r="E25" s="7"/>
      <c r="F25" s="8">
        <v>59472</v>
      </c>
      <c r="G25" s="7"/>
      <c r="H25" s="7">
        <v>4.1510000000000001E-4</v>
      </c>
      <c r="I25" s="3"/>
      <c r="J25" s="3">
        <v>4.3899999999999997</v>
      </c>
      <c r="K25" s="3"/>
    </row>
    <row r="26" spans="1:11" x14ac:dyDescent="0.25">
      <c r="A26" s="6">
        <v>45107</v>
      </c>
      <c r="B26" s="7">
        <v>999999</v>
      </c>
      <c r="C26" s="7"/>
      <c r="D26" s="7" t="s">
        <v>17</v>
      </c>
      <c r="E26" s="7"/>
      <c r="F26" s="8">
        <v>60478</v>
      </c>
      <c r="G26" s="7"/>
      <c r="H26" s="7">
        <v>3.9078000000000002E-4</v>
      </c>
      <c r="I26" s="3"/>
      <c r="J26" s="3">
        <v>4.33</v>
      </c>
      <c r="K26" s="3"/>
    </row>
    <row r="27" spans="1:11" ht="15.6" thickBot="1" x14ac:dyDescent="0.3">
      <c r="B27" s="9"/>
      <c r="C27" s="9"/>
      <c r="D27" s="9"/>
      <c r="E27" s="9"/>
      <c r="F27" s="9"/>
      <c r="G27" s="9"/>
      <c r="H27" s="9"/>
    </row>
    <row r="28" spans="1:11" s="1" customFormat="1" ht="16.2" thickBot="1" x14ac:dyDescent="0.35">
      <c r="A28" s="35" t="s">
        <v>18</v>
      </c>
      <c r="B28" s="1" t="s">
        <v>19</v>
      </c>
    </row>
    <row r="29" spans="1:11" x14ac:dyDescent="0.25">
      <c r="D29" s="2" t="s">
        <v>20</v>
      </c>
    </row>
    <row r="30" spans="1:11" x14ac:dyDescent="0.25">
      <c r="D30" s="2" t="s">
        <v>21</v>
      </c>
    </row>
    <row r="31" spans="1:11" x14ac:dyDescent="0.25">
      <c r="D31" s="2" t="s">
        <v>794</v>
      </c>
    </row>
    <row r="32" spans="1:11" ht="6.75" customHeight="1" thickBot="1" x14ac:dyDescent="0.3">
      <c r="H32" s="342"/>
    </row>
    <row r="33" spans="1:12" x14ac:dyDescent="0.25">
      <c r="A33" s="10"/>
      <c r="B33" s="11"/>
      <c r="C33" s="11"/>
      <c r="D33" s="11"/>
      <c r="E33" s="11"/>
      <c r="F33" s="11"/>
      <c r="G33" s="11"/>
      <c r="H33" s="350">
        <v>44742</v>
      </c>
      <c r="I33" s="11"/>
      <c r="J33" s="12">
        <v>45107</v>
      </c>
    </row>
    <row r="34" spans="1:12" x14ac:dyDescent="0.25">
      <c r="A34" s="402" t="s">
        <v>22</v>
      </c>
      <c r="B34" s="403"/>
      <c r="C34" s="403"/>
      <c r="D34" s="403"/>
      <c r="E34" s="403"/>
      <c r="F34" s="403"/>
      <c r="G34" s="369"/>
      <c r="H34" s="14">
        <v>780552819</v>
      </c>
      <c r="I34" s="14"/>
      <c r="J34" s="15">
        <v>675342427</v>
      </c>
      <c r="K34" s="16"/>
    </row>
    <row r="35" spans="1:12" x14ac:dyDescent="0.25">
      <c r="A35" s="402" t="s">
        <v>23</v>
      </c>
      <c r="B35" s="403"/>
      <c r="C35" s="403"/>
      <c r="D35" s="403"/>
      <c r="E35" s="403"/>
      <c r="F35" s="403"/>
      <c r="G35" s="369"/>
      <c r="H35" s="14">
        <v>549653636</v>
      </c>
      <c r="I35" s="14"/>
      <c r="J35" s="15">
        <v>487789387</v>
      </c>
      <c r="K35" s="16"/>
    </row>
    <row r="36" spans="1:12" x14ac:dyDescent="0.25">
      <c r="A36" s="404" t="s">
        <v>24</v>
      </c>
      <c r="B36" s="405"/>
      <c r="C36" s="405"/>
      <c r="D36" s="405"/>
      <c r="E36" s="405"/>
      <c r="F36" s="405"/>
      <c r="G36" s="369"/>
      <c r="H36" s="14">
        <v>-9450623</v>
      </c>
      <c r="I36" s="14"/>
      <c r="J36" s="15">
        <v>-9760450</v>
      </c>
      <c r="K36" s="16"/>
    </row>
    <row r="37" spans="1:12" ht="15.6" thickBot="1" x14ac:dyDescent="0.3">
      <c r="A37" s="400" t="s">
        <v>25</v>
      </c>
      <c r="B37" s="401"/>
      <c r="C37" s="401"/>
      <c r="D37" s="401"/>
      <c r="E37" s="401"/>
      <c r="F37" s="401"/>
      <c r="G37" s="371"/>
      <c r="H37" s="221">
        <f>H25</f>
        <v>4.1510000000000001E-4</v>
      </c>
      <c r="I37" s="18"/>
      <c r="J37" s="223">
        <f>H26</f>
        <v>3.9078000000000002E-4</v>
      </c>
      <c r="K37" s="16"/>
    </row>
    <row r="38" spans="1:12" ht="15.6" thickBot="1" x14ac:dyDescent="0.3">
      <c r="A38" s="13"/>
      <c r="B38" s="13"/>
      <c r="C38" s="13"/>
      <c r="D38" s="13"/>
      <c r="E38" s="13"/>
      <c r="F38" s="13"/>
      <c r="G38" s="13"/>
      <c r="H38" s="14"/>
      <c r="I38" s="14"/>
      <c r="J38" s="19"/>
      <c r="K38" s="16"/>
    </row>
    <row r="39" spans="1:12" x14ac:dyDescent="0.25">
      <c r="A39" s="406"/>
      <c r="B39" s="407"/>
      <c r="C39" s="407"/>
      <c r="D39" s="407"/>
      <c r="E39" s="407"/>
      <c r="F39" s="407"/>
      <c r="G39" s="11"/>
      <c r="H39" s="351">
        <v>44742</v>
      </c>
      <c r="I39" s="11"/>
      <c r="J39" s="261">
        <v>45107</v>
      </c>
      <c r="K39" s="16"/>
    </row>
    <row r="40" spans="1:12" x14ac:dyDescent="0.25">
      <c r="A40" s="402" t="s">
        <v>795</v>
      </c>
      <c r="B40" s="403"/>
      <c r="C40" s="403"/>
      <c r="D40" s="403"/>
      <c r="E40" s="403"/>
      <c r="F40" s="403"/>
      <c r="G40" s="369"/>
      <c r="H40" s="352">
        <v>-45856021</v>
      </c>
      <c r="I40" s="369"/>
      <c r="J40" s="262">
        <v>43036316</v>
      </c>
      <c r="K40" s="16"/>
    </row>
    <row r="41" spans="1:12" x14ac:dyDescent="0.25">
      <c r="A41" s="372" t="s">
        <v>856</v>
      </c>
      <c r="B41" s="373"/>
      <c r="C41" s="373"/>
      <c r="D41" s="373"/>
      <c r="E41" s="373"/>
      <c r="F41" s="373"/>
      <c r="G41" s="369"/>
      <c r="H41" s="359">
        <v>143270826</v>
      </c>
      <c r="I41" s="369"/>
      <c r="J41" s="262">
        <v>154761704</v>
      </c>
      <c r="K41" s="16"/>
    </row>
    <row r="42" spans="1:12" x14ac:dyDescent="0.25">
      <c r="A42" s="360" t="s">
        <v>857</v>
      </c>
      <c r="B42" s="373"/>
      <c r="C42" s="373"/>
      <c r="D42" s="373"/>
      <c r="E42" s="373"/>
      <c r="F42" s="373"/>
      <c r="G42" s="369"/>
      <c r="H42" s="358">
        <f>SUM(H40:H41)</f>
        <v>97414805</v>
      </c>
      <c r="I42" s="369"/>
      <c r="J42" s="263">
        <f>SUM(J40:J41)</f>
        <v>197798020</v>
      </c>
      <c r="K42" s="16"/>
    </row>
    <row r="43" spans="1:12" ht="15.6" thickBot="1" x14ac:dyDescent="0.3">
      <c r="A43" s="400" t="s">
        <v>25</v>
      </c>
      <c r="B43" s="401"/>
      <c r="C43" s="401"/>
      <c r="D43" s="401"/>
      <c r="E43" s="401"/>
      <c r="F43" s="401"/>
      <c r="G43" s="371"/>
      <c r="H43" s="221">
        <f>H25</f>
        <v>4.1510000000000001E-4</v>
      </c>
      <c r="I43" s="18"/>
      <c r="J43" s="264">
        <f>H26</f>
        <v>3.9078000000000002E-4</v>
      </c>
      <c r="K43" s="16"/>
    </row>
    <row r="44" spans="1:12" ht="15.6" thickBot="1" x14ac:dyDescent="0.3">
      <c r="A44" s="13"/>
      <c r="B44" s="13"/>
      <c r="C44" s="13"/>
      <c r="D44" s="13"/>
      <c r="E44" s="13"/>
      <c r="F44" s="13"/>
      <c r="G44" s="13"/>
      <c r="H44" s="14"/>
      <c r="I44" s="14"/>
      <c r="J44" s="19"/>
      <c r="K44" s="16"/>
    </row>
    <row r="45" spans="1:12" s="1" customFormat="1" ht="16.2" thickBot="1" x14ac:dyDescent="0.35">
      <c r="A45" s="35" t="s">
        <v>26</v>
      </c>
      <c r="B45" s="1" t="s">
        <v>27</v>
      </c>
    </row>
    <row r="46" spans="1:12" ht="15.6" thickBot="1" x14ac:dyDescent="0.3"/>
    <row r="47" spans="1:12" ht="15.75" customHeight="1" x14ac:dyDescent="0.25">
      <c r="A47" s="10"/>
      <c r="B47" s="11"/>
      <c r="C47" s="11"/>
      <c r="D47" s="11"/>
      <c r="E47" s="11"/>
      <c r="F47" s="21" t="s">
        <v>28</v>
      </c>
      <c r="G47" s="21"/>
      <c r="H47" s="21" t="s">
        <v>28</v>
      </c>
      <c r="I47" s="11"/>
      <c r="J47" s="386" t="s">
        <v>324</v>
      </c>
      <c r="K47" s="387"/>
      <c r="L47" s="13"/>
    </row>
    <row r="48" spans="1:12" ht="15.75" customHeight="1" x14ac:dyDescent="0.25">
      <c r="A48" s="163"/>
      <c r="B48" s="164"/>
      <c r="C48" s="164"/>
      <c r="D48" s="164"/>
      <c r="E48" s="164"/>
      <c r="F48" s="23" t="s">
        <v>884</v>
      </c>
      <c r="G48" s="23"/>
      <c r="H48" s="23" t="s">
        <v>917</v>
      </c>
      <c r="I48" s="164"/>
      <c r="J48" s="412" t="s">
        <v>32</v>
      </c>
      <c r="K48" s="413"/>
      <c r="L48" s="13"/>
    </row>
    <row r="49" spans="1:12" ht="15.75" customHeight="1" x14ac:dyDescent="0.25">
      <c r="A49" s="163" t="s">
        <v>29</v>
      </c>
      <c r="B49" s="164"/>
      <c r="C49" s="164"/>
      <c r="D49" s="164"/>
      <c r="E49" s="164"/>
      <c r="F49" s="319">
        <f>H37</f>
        <v>4.1510000000000001E-4</v>
      </c>
      <c r="G49" s="23"/>
      <c r="H49" s="320">
        <f>J37</f>
        <v>3.9078000000000002E-4</v>
      </c>
      <c r="I49" s="164"/>
      <c r="J49" s="23" t="s">
        <v>318</v>
      </c>
      <c r="K49" s="173" t="s">
        <v>319</v>
      </c>
      <c r="L49" s="13"/>
    </row>
    <row r="50" spans="1:12" ht="15" customHeight="1" x14ac:dyDescent="0.25">
      <c r="A50" s="174" t="s">
        <v>31</v>
      </c>
      <c r="B50" s="170"/>
      <c r="C50" s="170"/>
      <c r="D50" s="170"/>
      <c r="E50" s="170"/>
      <c r="F50" s="23" t="s">
        <v>47</v>
      </c>
      <c r="G50" s="23"/>
      <c r="H50" s="27" t="s">
        <v>48</v>
      </c>
      <c r="I50" s="164"/>
      <c r="J50" s="23" t="s">
        <v>321</v>
      </c>
      <c r="K50" s="24" t="s">
        <v>321</v>
      </c>
      <c r="L50" s="13"/>
    </row>
    <row r="51" spans="1:12" s="165" customFormat="1" ht="5.25" customHeight="1" x14ac:dyDescent="0.25">
      <c r="A51" s="163"/>
      <c r="B51" s="164"/>
      <c r="C51" s="164"/>
      <c r="D51" s="164"/>
      <c r="E51" s="164"/>
      <c r="F51" s="23"/>
      <c r="G51" s="23"/>
      <c r="H51" s="27"/>
      <c r="I51" s="164"/>
      <c r="J51" s="23"/>
      <c r="K51" s="24"/>
      <c r="L51" s="164"/>
    </row>
    <row r="52" spans="1:12" s="165" customFormat="1" ht="15" customHeight="1" x14ac:dyDescent="0.25">
      <c r="A52" s="402" t="s">
        <v>75</v>
      </c>
      <c r="B52" s="403"/>
      <c r="C52" s="403"/>
      <c r="D52" s="403"/>
      <c r="E52" s="169"/>
      <c r="F52" s="224">
        <f>-H36*H37</f>
        <v>3922.9536072999999</v>
      </c>
      <c r="G52" s="225"/>
      <c r="H52" s="265">
        <f>-J36*J37</f>
        <v>3814.1886510000004</v>
      </c>
      <c r="I52" s="226"/>
      <c r="J52" s="227">
        <f>H52-F52</f>
        <v>-108.76495629999954</v>
      </c>
      <c r="K52" s="349"/>
      <c r="L52" s="164"/>
    </row>
    <row r="53" spans="1:12" x14ac:dyDescent="0.25">
      <c r="A53" s="384" t="s">
        <v>322</v>
      </c>
      <c r="B53" s="385"/>
      <c r="C53" s="385"/>
      <c r="D53" s="385"/>
      <c r="E53" s="164"/>
      <c r="F53" s="228">
        <f>H37*H34</f>
        <v>324007.47516690003</v>
      </c>
      <c r="G53" s="226"/>
      <c r="H53" s="228">
        <f>J37*J34</f>
        <v>263910.31362306001</v>
      </c>
      <c r="I53" s="226"/>
      <c r="J53" s="228">
        <f>H53-F53</f>
        <v>-60097.161543840019</v>
      </c>
      <c r="K53" s="229"/>
      <c r="L53" s="13"/>
    </row>
    <row r="54" spans="1:12" s="165" customFormat="1" x14ac:dyDescent="0.25">
      <c r="A54" s="384" t="s">
        <v>320</v>
      </c>
      <c r="B54" s="385"/>
      <c r="C54" s="385"/>
      <c r="D54" s="385"/>
      <c r="E54" s="164"/>
      <c r="F54" s="228"/>
      <c r="G54" s="226"/>
      <c r="H54" s="228"/>
      <c r="I54" s="226"/>
      <c r="J54" s="228"/>
      <c r="K54" s="229">
        <f>H54-F54</f>
        <v>0</v>
      </c>
      <c r="L54" s="164"/>
    </row>
    <row r="55" spans="1:12" x14ac:dyDescent="0.25">
      <c r="A55" s="384" t="s">
        <v>323</v>
      </c>
      <c r="B55" s="385"/>
      <c r="C55" s="385"/>
      <c r="D55" s="385"/>
      <c r="E55" s="164"/>
      <c r="F55" s="228">
        <f>H37*H35</f>
        <v>228161.2243036</v>
      </c>
      <c r="G55" s="226"/>
      <c r="H55" s="228">
        <f>J37*J35</f>
        <v>190618.33665186001</v>
      </c>
      <c r="I55" s="226"/>
      <c r="J55" s="226"/>
      <c r="K55" s="229">
        <f>H55-F55</f>
        <v>-37542.887651739991</v>
      </c>
      <c r="L55" s="13"/>
    </row>
    <row r="56" spans="1:12" ht="16.5" customHeight="1" thickBot="1" x14ac:dyDescent="0.3">
      <c r="A56" s="400"/>
      <c r="B56" s="401"/>
      <c r="C56" s="401"/>
      <c r="D56" s="401"/>
      <c r="E56" s="167"/>
      <c r="F56" s="230"/>
      <c r="G56" s="231"/>
      <c r="H56" s="230"/>
      <c r="I56" s="231"/>
      <c r="J56" s="230"/>
      <c r="K56" s="232"/>
      <c r="L56" s="13"/>
    </row>
    <row r="57" spans="1:12" ht="15.6" thickBot="1" x14ac:dyDescent="0.3">
      <c r="A57" s="389"/>
      <c r="B57" s="389"/>
      <c r="C57" s="389"/>
      <c r="D57" s="389"/>
      <c r="E57" s="389"/>
      <c r="F57" s="389"/>
    </row>
    <row r="58" spans="1:12" x14ac:dyDescent="0.25">
      <c r="B58" s="177" t="s">
        <v>918</v>
      </c>
      <c r="C58" s="11"/>
      <c r="D58" s="11"/>
      <c r="E58" s="11"/>
      <c r="F58" s="11"/>
      <c r="G58" s="11"/>
      <c r="H58" s="11"/>
      <c r="I58" s="11"/>
      <c r="J58" s="11"/>
      <c r="K58" s="30"/>
    </row>
    <row r="59" spans="1:12" ht="15.6" x14ac:dyDescent="0.3">
      <c r="B59" s="163"/>
      <c r="C59" s="164"/>
      <c r="D59" s="164"/>
      <c r="E59" s="164"/>
      <c r="F59" s="164"/>
      <c r="G59" s="164"/>
      <c r="H59" s="28"/>
      <c r="I59" s="31"/>
      <c r="J59" s="32">
        <v>45107</v>
      </c>
      <c r="K59" s="175"/>
    </row>
    <row r="60" spans="1:12" ht="15.6" x14ac:dyDescent="0.3">
      <c r="B60" s="168" t="s">
        <v>795</v>
      </c>
      <c r="C60" s="164"/>
      <c r="D60" s="164"/>
      <c r="E60" s="164"/>
      <c r="F60" s="164"/>
      <c r="G60" s="164"/>
      <c r="H60" s="28"/>
      <c r="I60" s="31"/>
      <c r="J60" s="227">
        <f>J43*J40</f>
        <v>16817.731566480001</v>
      </c>
      <c r="K60" s="175"/>
    </row>
    <row r="61" spans="1:12" ht="15.6" x14ac:dyDescent="0.3">
      <c r="B61" s="305" t="s">
        <v>856</v>
      </c>
      <c r="C61" s="164"/>
      <c r="D61" s="164"/>
      <c r="E61" s="164"/>
      <c r="F61" s="164"/>
      <c r="G61" s="164"/>
      <c r="H61" s="28"/>
      <c r="I61" s="31"/>
      <c r="J61" s="233">
        <f>J43*J41</f>
        <v>60477.778689120001</v>
      </c>
      <c r="K61" s="175"/>
    </row>
    <row r="62" spans="1:12" ht="16.2" thickBot="1" x14ac:dyDescent="0.35">
      <c r="B62" s="256" t="s">
        <v>857</v>
      </c>
      <c r="C62" s="33"/>
      <c r="D62" s="33"/>
      <c r="E62" s="33"/>
      <c r="F62" s="33"/>
      <c r="G62" s="33"/>
      <c r="H62" s="29"/>
      <c r="I62" s="34"/>
      <c r="J62" s="234">
        <f>SUM(J60:J61)</f>
        <v>77295.510255600006</v>
      </c>
      <c r="K62" s="176"/>
    </row>
    <row r="63" spans="1:12" ht="15.6" thickBot="1" x14ac:dyDescent="0.3">
      <c r="B63" s="20"/>
      <c r="C63" s="20"/>
      <c r="D63" s="20"/>
      <c r="E63" s="20"/>
      <c r="F63" s="20"/>
      <c r="G63" s="20"/>
    </row>
    <row r="64" spans="1:12" s="1" customFormat="1" ht="16.2" thickBot="1" x14ac:dyDescent="0.35">
      <c r="A64" s="35" t="s">
        <v>33</v>
      </c>
      <c r="B64" s="1" t="s">
        <v>34</v>
      </c>
    </row>
    <row r="65" spans="1:6" s="1" customFormat="1" ht="15.6" x14ac:dyDescent="0.3">
      <c r="A65" s="31"/>
      <c r="B65" s="1" t="s">
        <v>796</v>
      </c>
    </row>
    <row r="66" spans="1:6" ht="15.6" x14ac:dyDescent="0.3">
      <c r="B66" s="36"/>
    </row>
    <row r="67" spans="1:6" ht="15.6" x14ac:dyDescent="0.3">
      <c r="B67" s="2" t="s">
        <v>35</v>
      </c>
    </row>
    <row r="68" spans="1:6" x14ac:dyDescent="0.25">
      <c r="D68" s="2" t="s">
        <v>919</v>
      </c>
    </row>
    <row r="69" spans="1:6" ht="15.6" x14ac:dyDescent="0.3">
      <c r="D69" s="36" t="s">
        <v>920</v>
      </c>
      <c r="E69" s="36"/>
      <c r="F69" s="36"/>
    </row>
    <row r="70" spans="1:6" ht="7.5" customHeight="1" x14ac:dyDescent="0.3">
      <c r="D70" s="36"/>
      <c r="E70" s="36"/>
      <c r="F70" s="36"/>
    </row>
    <row r="71" spans="1:6" ht="3.75" customHeight="1" x14ac:dyDescent="0.3">
      <c r="D71" s="36"/>
      <c r="E71" s="36"/>
      <c r="F71" s="36"/>
    </row>
    <row r="72" spans="1:6" ht="6" customHeight="1" x14ac:dyDescent="0.25"/>
    <row r="73" spans="1:6" x14ac:dyDescent="0.25">
      <c r="D73" s="2" t="s">
        <v>36</v>
      </c>
    </row>
    <row r="74" spans="1:6" x14ac:dyDescent="0.25">
      <c r="D74" s="2" t="s">
        <v>37</v>
      </c>
    </row>
    <row r="75" spans="1:6" x14ac:dyDescent="0.25">
      <c r="D75" s="2" t="s">
        <v>38</v>
      </c>
    </row>
    <row r="77" spans="1:6" ht="16.2" thickBot="1" x14ac:dyDescent="0.35">
      <c r="B77" s="37" t="s">
        <v>39</v>
      </c>
    </row>
    <row r="78" spans="1:6" ht="16.2" thickBot="1" x14ac:dyDescent="0.35">
      <c r="C78" s="408" t="s">
        <v>40</v>
      </c>
      <c r="D78" s="409"/>
      <c r="F78" s="2" t="s">
        <v>41</v>
      </c>
    </row>
    <row r="79" spans="1:6" ht="15.6" x14ac:dyDescent="0.3">
      <c r="D79" s="2" t="s">
        <v>42</v>
      </c>
    </row>
    <row r="81" spans="2:12" x14ac:dyDescent="0.25">
      <c r="B81" s="74" t="s">
        <v>43</v>
      </c>
      <c r="D81" s="74"/>
    </row>
    <row r="82" spans="2:12" ht="8.25" customHeight="1" thickBot="1" x14ac:dyDescent="0.35">
      <c r="D82" s="38"/>
    </row>
    <row r="83" spans="2:12" ht="15.75" customHeight="1" x14ac:dyDescent="0.25">
      <c r="B83" s="10"/>
      <c r="C83" s="11"/>
      <c r="D83" s="11"/>
      <c r="E83" s="11"/>
      <c r="F83" s="21"/>
      <c r="G83" s="21"/>
      <c r="H83" s="21" t="s">
        <v>11</v>
      </c>
      <c r="I83" s="21"/>
      <c r="J83" s="21" t="s">
        <v>30</v>
      </c>
      <c r="K83" s="386" t="s">
        <v>330</v>
      </c>
      <c r="L83" s="387"/>
    </row>
    <row r="84" spans="2:12" x14ac:dyDescent="0.25">
      <c r="B84" s="163"/>
      <c r="C84" s="164"/>
      <c r="D84" s="164"/>
      <c r="E84" s="164"/>
      <c r="F84" s="23" t="s">
        <v>44</v>
      </c>
      <c r="G84" s="23"/>
      <c r="H84" s="23" t="s">
        <v>45</v>
      </c>
      <c r="I84" s="23"/>
      <c r="J84" s="23" t="s">
        <v>45</v>
      </c>
      <c r="K84" s="392" t="s">
        <v>331</v>
      </c>
      <c r="L84" s="393"/>
    </row>
    <row r="85" spans="2:12" x14ac:dyDescent="0.25">
      <c r="B85" s="163"/>
      <c r="C85" s="164"/>
      <c r="D85" s="164"/>
      <c r="E85" s="164"/>
      <c r="F85" s="23" t="s">
        <v>46</v>
      </c>
      <c r="G85" s="23"/>
      <c r="H85" s="321">
        <f>H43</f>
        <v>4.1510000000000001E-4</v>
      </c>
      <c r="I85" s="23"/>
      <c r="J85" s="322">
        <f>J43</f>
        <v>3.9078000000000002E-4</v>
      </c>
      <c r="K85" s="23" t="s">
        <v>318</v>
      </c>
      <c r="L85" s="24" t="s">
        <v>319</v>
      </c>
    </row>
    <row r="86" spans="2:12" x14ac:dyDescent="0.25">
      <c r="B86" s="163"/>
      <c r="C86" s="164"/>
      <c r="D86" s="164"/>
      <c r="E86" s="164"/>
      <c r="F86" s="32">
        <v>44742</v>
      </c>
      <c r="G86" s="39"/>
      <c r="H86" s="39" t="s">
        <v>47</v>
      </c>
      <c r="I86" s="39"/>
      <c r="J86" s="39" t="s">
        <v>48</v>
      </c>
      <c r="K86" s="39" t="s">
        <v>321</v>
      </c>
      <c r="L86" s="25" t="s">
        <v>321</v>
      </c>
    </row>
    <row r="87" spans="2:12" ht="4.5" customHeight="1" x14ac:dyDescent="0.25">
      <c r="B87" s="163"/>
      <c r="C87" s="164"/>
      <c r="D87" s="164"/>
      <c r="E87" s="164"/>
      <c r="F87" s="32"/>
      <c r="G87" s="39"/>
      <c r="H87" s="39"/>
      <c r="I87" s="39"/>
      <c r="J87" s="39"/>
      <c r="K87" s="39"/>
      <c r="L87" s="25"/>
    </row>
    <row r="88" spans="2:12" s="165" customFormat="1" ht="18.75" customHeight="1" x14ac:dyDescent="0.25">
      <c r="B88" s="163"/>
      <c r="C88" s="164"/>
      <c r="D88" s="164"/>
      <c r="E88" s="164"/>
      <c r="F88" s="227">
        <v>0</v>
      </c>
      <c r="G88" s="235"/>
      <c r="H88" s="224">
        <f>H85*F88</f>
        <v>0</v>
      </c>
      <c r="I88" s="235"/>
      <c r="J88" s="224">
        <f>J85*F88</f>
        <v>0</v>
      </c>
      <c r="K88" s="224">
        <f>J88-H88</f>
        <v>0</v>
      </c>
      <c r="L88" s="236"/>
    </row>
    <row r="89" spans="2:12" x14ac:dyDescent="0.25">
      <c r="B89" s="384" t="s">
        <v>322</v>
      </c>
      <c r="C89" s="385"/>
      <c r="D89" s="385"/>
      <c r="E89" s="164"/>
      <c r="F89" s="237">
        <f>H34</f>
        <v>780552819</v>
      </c>
      <c r="G89" s="237"/>
      <c r="H89" s="237">
        <f>H85*F89</f>
        <v>324007.47516690003</v>
      </c>
      <c r="I89" s="237"/>
      <c r="J89" s="237">
        <f>J85*F89</f>
        <v>305024.43060882</v>
      </c>
      <c r="K89" s="237">
        <f>J89-H89</f>
        <v>-18983.04455808003</v>
      </c>
      <c r="L89" s="238"/>
    </row>
    <row r="90" spans="2:12" x14ac:dyDescent="0.25">
      <c r="B90" s="384" t="s">
        <v>877</v>
      </c>
      <c r="C90" s="385"/>
      <c r="D90" s="385"/>
      <c r="E90" s="164"/>
      <c r="F90" s="237">
        <f>H36</f>
        <v>-9450623</v>
      </c>
      <c r="G90" s="237"/>
      <c r="H90" s="237">
        <f>H85*F90</f>
        <v>-3922.9536072999999</v>
      </c>
      <c r="I90" s="237"/>
      <c r="J90" s="237">
        <f>J85*F90</f>
        <v>-3693.1144559400004</v>
      </c>
      <c r="K90" s="237"/>
      <c r="L90" s="238">
        <f>J90-H90</f>
        <v>229.83915135999951</v>
      </c>
    </row>
    <row r="91" spans="2:12" x14ac:dyDescent="0.25">
      <c r="B91" s="384" t="s">
        <v>323</v>
      </c>
      <c r="C91" s="385"/>
      <c r="D91" s="385"/>
      <c r="E91" s="164"/>
      <c r="F91" s="237">
        <f>H35</f>
        <v>549653636</v>
      </c>
      <c r="G91" s="237"/>
      <c r="H91" s="237">
        <f>H85*F91</f>
        <v>228161.2243036</v>
      </c>
      <c r="I91" s="237"/>
      <c r="J91" s="237">
        <f>J85*F91</f>
        <v>214793.64787608001</v>
      </c>
      <c r="K91" s="237"/>
      <c r="L91" s="238">
        <f>J91-H91</f>
        <v>-13367.576427519991</v>
      </c>
    </row>
    <row r="92" spans="2:12" s="165" customFormat="1" x14ac:dyDescent="0.25">
      <c r="B92" s="163"/>
      <c r="C92" s="164"/>
      <c r="D92" s="164"/>
      <c r="E92" s="164"/>
      <c r="F92" s="14"/>
      <c r="G92" s="14"/>
      <c r="H92" s="178" t="s">
        <v>325</v>
      </c>
      <c r="I92" s="14"/>
      <c r="J92" s="14"/>
      <c r="K92" s="220">
        <f>SUM(K88:K91)</f>
        <v>-18983.04455808003</v>
      </c>
      <c r="L92" s="222">
        <f>SUM(L88:L91)</f>
        <v>-13137.737276159991</v>
      </c>
    </row>
    <row r="93" spans="2:12" ht="6" customHeight="1" x14ac:dyDescent="0.25">
      <c r="B93" s="163"/>
      <c r="C93" s="164"/>
      <c r="D93" s="164"/>
      <c r="E93" s="164"/>
      <c r="F93" s="14"/>
      <c r="G93" s="14"/>
      <c r="H93" s="14"/>
      <c r="I93" s="14"/>
      <c r="J93" s="14"/>
      <c r="K93" s="237"/>
      <c r="L93" s="238"/>
    </row>
    <row r="94" spans="2:12" ht="17.399999999999999" thickBot="1" x14ac:dyDescent="0.45">
      <c r="B94" s="166"/>
      <c r="C94" s="167"/>
      <c r="D94" s="167"/>
      <c r="E94" s="167"/>
      <c r="F94" s="388" t="s">
        <v>49</v>
      </c>
      <c r="G94" s="388"/>
      <c r="H94" s="388"/>
      <c r="I94" s="388"/>
      <c r="J94" s="388"/>
      <c r="K94" s="239">
        <f>IF(L92&gt;K92,L92-K92,0)</f>
        <v>5845.3072819200388</v>
      </c>
      <c r="L94" s="240">
        <f>IF(K92&gt;L92,K92-L92,0)</f>
        <v>0</v>
      </c>
    </row>
    <row r="95" spans="2:12" ht="7.5" customHeight="1" x14ac:dyDescent="0.25"/>
    <row r="96" spans="2:12" x14ac:dyDescent="0.25">
      <c r="D96" s="2" t="s">
        <v>326</v>
      </c>
      <c r="I96" s="41" t="s">
        <v>50</v>
      </c>
      <c r="J96" s="241">
        <f>IF(K94&gt;0,K94/J26,-L94/J26)</f>
        <v>1349.9554923602861</v>
      </c>
    </row>
    <row r="97" spans="2:12" x14ac:dyDescent="0.25">
      <c r="D97" s="2" t="s">
        <v>51</v>
      </c>
      <c r="I97" s="41" t="s">
        <v>50</v>
      </c>
      <c r="J97" s="241">
        <f>IF(J96&gt;0,K94-J96,-L94-J96)</f>
        <v>4495.3517895597524</v>
      </c>
    </row>
    <row r="98" spans="2:12" ht="15.6" thickBot="1" x14ac:dyDescent="0.3"/>
    <row r="99" spans="2:12" ht="16.2" thickBot="1" x14ac:dyDescent="0.35">
      <c r="C99" s="410" t="s">
        <v>52</v>
      </c>
      <c r="D99" s="411"/>
      <c r="F99" s="42" t="s">
        <v>53</v>
      </c>
    </row>
    <row r="100" spans="2:12" x14ac:dyDescent="0.25">
      <c r="D100" s="2" t="s">
        <v>54</v>
      </c>
    </row>
    <row r="101" spans="2:12" s="172" customFormat="1" ht="5.25" customHeight="1" x14ac:dyDescent="0.25"/>
    <row r="102" spans="2:12" ht="15.6" x14ac:dyDescent="0.3">
      <c r="C102" s="43" t="s">
        <v>55</v>
      </c>
      <c r="D102" s="2" t="s">
        <v>341</v>
      </c>
      <c r="E102" s="43"/>
    </row>
    <row r="103" spans="2:12" s="172" customFormat="1" ht="6" customHeight="1" x14ac:dyDescent="0.3">
      <c r="C103" s="43"/>
      <c r="E103" s="43"/>
    </row>
    <row r="104" spans="2:12" s="172" customFormat="1" ht="15.6" x14ac:dyDescent="0.3">
      <c r="B104" s="391" t="s">
        <v>923</v>
      </c>
      <c r="C104" s="391"/>
      <c r="D104" s="391"/>
      <c r="E104" s="391"/>
      <c r="F104" s="391"/>
      <c r="H104" s="244">
        <f>'Contributions &amp; Covered Payroll'!R23</f>
        <v>30238.980000000003</v>
      </c>
      <c r="J104" s="390" t="s">
        <v>924</v>
      </c>
      <c r="K104" s="390"/>
      <c r="L104" s="390"/>
    </row>
    <row r="105" spans="2:12" s="172" customFormat="1" ht="8.25" customHeight="1" x14ac:dyDescent="0.3">
      <c r="C105" s="43"/>
      <c r="E105" s="43"/>
      <c r="H105" s="250"/>
    </row>
    <row r="106" spans="2:12" ht="15.75" customHeight="1" x14ac:dyDescent="0.3">
      <c r="B106" s="391" t="s">
        <v>922</v>
      </c>
      <c r="C106" s="391"/>
      <c r="D106" s="391"/>
      <c r="E106" s="391"/>
      <c r="F106" s="391"/>
      <c r="H106" s="244">
        <f>'Contributions &amp; Covered Payroll'!T15</f>
        <v>30239.02</v>
      </c>
      <c r="J106" s="390"/>
      <c r="K106" s="390"/>
      <c r="L106" s="390"/>
    </row>
    <row r="107" spans="2:12" ht="6.75" customHeight="1" x14ac:dyDescent="0.3">
      <c r="B107" s="44"/>
      <c r="C107" s="44"/>
      <c r="D107" s="44"/>
      <c r="E107" s="44"/>
      <c r="F107" s="44"/>
      <c r="H107" s="244"/>
      <c r="J107" s="36"/>
      <c r="K107" s="36"/>
      <c r="L107" s="36"/>
    </row>
    <row r="108" spans="2:12" ht="15.75" customHeight="1" x14ac:dyDescent="0.3">
      <c r="B108" s="391" t="s">
        <v>921</v>
      </c>
      <c r="C108" s="391"/>
      <c r="D108" s="391"/>
      <c r="E108" s="391"/>
      <c r="F108" s="391"/>
      <c r="H108" s="244">
        <f>'Contributions &amp; Covered Payroll'!T23</f>
        <v>31599.719999999998</v>
      </c>
      <c r="J108" s="416" t="s">
        <v>56</v>
      </c>
      <c r="K108" s="416"/>
      <c r="L108" s="416"/>
    </row>
    <row r="109" spans="2:12" ht="15.6" x14ac:dyDescent="0.3">
      <c r="H109" s="416" t="s">
        <v>57</v>
      </c>
      <c r="I109" s="416"/>
      <c r="J109" s="416"/>
      <c r="K109" s="416"/>
      <c r="L109" s="416"/>
    </row>
    <row r="110" spans="2:12" ht="15.6" x14ac:dyDescent="0.3">
      <c r="D110" s="45"/>
      <c r="H110" s="416" t="s">
        <v>58</v>
      </c>
      <c r="I110" s="416"/>
      <c r="J110" s="416"/>
      <c r="K110" s="416"/>
      <c r="L110" s="416"/>
    </row>
    <row r="111" spans="2:12" ht="15.6" x14ac:dyDescent="0.3">
      <c r="H111" s="417" t="s">
        <v>59</v>
      </c>
      <c r="I111" s="417"/>
      <c r="J111" s="417"/>
      <c r="K111" s="417"/>
      <c r="L111" s="417"/>
    </row>
    <row r="112" spans="2:12" ht="15.6" x14ac:dyDescent="0.3">
      <c r="H112" s="46"/>
      <c r="I112" s="46"/>
      <c r="J112" s="46"/>
      <c r="K112" s="46"/>
      <c r="L112" s="46"/>
    </row>
    <row r="113" spans="1:12" x14ac:dyDescent="0.25">
      <c r="B113" s="74" t="s">
        <v>122</v>
      </c>
      <c r="D113" s="74"/>
    </row>
    <row r="114" spans="1:12" ht="7.5" customHeight="1" thickBot="1" x14ac:dyDescent="0.35">
      <c r="H114" s="46"/>
      <c r="I114" s="46"/>
      <c r="J114" s="46"/>
      <c r="K114" s="46"/>
      <c r="L114" s="46"/>
    </row>
    <row r="115" spans="1:12" ht="15.6" x14ac:dyDescent="0.3">
      <c r="B115" s="10"/>
      <c r="C115" s="11"/>
      <c r="D115" s="11"/>
      <c r="E115" s="11"/>
      <c r="F115" s="21"/>
      <c r="G115" s="21"/>
      <c r="H115" s="21" t="s">
        <v>30</v>
      </c>
      <c r="I115" s="21"/>
      <c r="J115" s="47"/>
      <c r="K115" s="48"/>
    </row>
    <row r="116" spans="1:12" ht="15.6" x14ac:dyDescent="0.3">
      <c r="B116" s="26"/>
      <c r="C116" s="13"/>
      <c r="D116" s="13"/>
      <c r="E116" s="13"/>
      <c r="F116" s="23"/>
      <c r="G116" s="23"/>
      <c r="H116" s="23" t="s">
        <v>45</v>
      </c>
      <c r="I116" s="23"/>
      <c r="J116" s="23" t="s">
        <v>9</v>
      </c>
      <c r="K116" s="49"/>
    </row>
    <row r="117" spans="1:12" x14ac:dyDescent="0.25">
      <c r="B117" s="26"/>
      <c r="C117" s="13"/>
      <c r="D117" s="13"/>
      <c r="E117" s="13"/>
      <c r="F117" s="23" t="s">
        <v>44</v>
      </c>
      <c r="G117" s="23"/>
      <c r="H117" s="322">
        <f>J37</f>
        <v>3.9078000000000002E-4</v>
      </c>
      <c r="I117" s="23"/>
      <c r="J117" s="23" t="s">
        <v>15</v>
      </c>
      <c r="K117" s="24" t="s">
        <v>60</v>
      </c>
    </row>
    <row r="118" spans="1:12" x14ac:dyDescent="0.25">
      <c r="B118" s="26"/>
      <c r="C118" s="13"/>
      <c r="D118" s="13"/>
      <c r="E118" s="13"/>
      <c r="F118" s="39" t="s">
        <v>61</v>
      </c>
      <c r="G118" s="39"/>
      <c r="H118" s="39" t="s">
        <v>47</v>
      </c>
      <c r="I118" s="39"/>
      <c r="J118" s="39" t="s">
        <v>48</v>
      </c>
      <c r="K118" s="25" t="s">
        <v>62</v>
      </c>
    </row>
    <row r="119" spans="1:12" ht="6" customHeight="1" x14ac:dyDescent="0.25">
      <c r="B119" s="26"/>
      <c r="C119" s="13"/>
      <c r="D119" s="13"/>
      <c r="E119" s="13"/>
      <c r="F119" s="39"/>
      <c r="G119" s="39"/>
      <c r="H119" s="39"/>
      <c r="I119" s="39"/>
      <c r="J119" s="39"/>
      <c r="K119" s="25"/>
    </row>
    <row r="120" spans="1:12" x14ac:dyDescent="0.25">
      <c r="B120" s="384" t="s">
        <v>63</v>
      </c>
      <c r="C120" s="385"/>
      <c r="D120" s="385"/>
      <c r="E120" s="13"/>
      <c r="F120" s="242">
        <f>J41</f>
        <v>154761704</v>
      </c>
      <c r="G120" s="50"/>
      <c r="H120" s="242">
        <f>(F120*H117)</f>
        <v>60477.778689120001</v>
      </c>
      <c r="I120" s="50"/>
      <c r="J120" s="242">
        <f>H104+H106</f>
        <v>60478</v>
      </c>
      <c r="K120" s="243">
        <f>J120-ROUND(H120,2)</f>
        <v>0.22000000000116415</v>
      </c>
    </row>
    <row r="121" spans="1:12" ht="6.75" customHeight="1" thickBot="1" x14ac:dyDescent="0.3">
      <c r="B121" s="40"/>
      <c r="C121" s="17"/>
      <c r="D121" s="17"/>
      <c r="E121" s="17"/>
      <c r="F121" s="17"/>
      <c r="G121" s="17"/>
      <c r="H121" s="17"/>
      <c r="I121" s="17"/>
      <c r="J121" s="17"/>
      <c r="K121" s="51"/>
    </row>
    <row r="122" spans="1:12" ht="7.5" customHeight="1" x14ac:dyDescent="0.25"/>
    <row r="123" spans="1:12" x14ac:dyDescent="0.25">
      <c r="D123" s="418" t="s">
        <v>333</v>
      </c>
      <c r="E123" s="418"/>
      <c r="F123" s="418"/>
      <c r="G123" s="418"/>
      <c r="H123" s="418"/>
      <c r="I123" s="418"/>
      <c r="J123" s="418"/>
      <c r="K123" s="244">
        <f>K120/J26</f>
        <v>5.0808314088028675E-2</v>
      </c>
      <c r="L123" s="16"/>
    </row>
    <row r="124" spans="1:12" x14ac:dyDescent="0.25">
      <c r="D124" s="418" t="s">
        <v>332</v>
      </c>
      <c r="E124" s="418"/>
      <c r="F124" s="418"/>
      <c r="G124" s="418"/>
      <c r="H124" s="418"/>
      <c r="I124" s="418"/>
      <c r="J124" s="418"/>
      <c r="K124" s="245">
        <f>K120-K123</f>
        <v>0.16919168591313549</v>
      </c>
      <c r="L124" s="52"/>
    </row>
    <row r="125" spans="1:12" ht="15.6" thickBot="1" x14ac:dyDescent="0.3"/>
    <row r="126" spans="1:12" s="1" customFormat="1" ht="16.2" thickBot="1" x14ac:dyDescent="0.35">
      <c r="A126" s="35" t="s">
        <v>64</v>
      </c>
      <c r="B126" s="31"/>
      <c r="D126" s="1" t="s">
        <v>65</v>
      </c>
    </row>
    <row r="127" spans="1:12" ht="15.6" thickBot="1" x14ac:dyDescent="0.3"/>
    <row r="128" spans="1:12" x14ac:dyDescent="0.25">
      <c r="B128" s="10"/>
      <c r="C128" s="11"/>
      <c r="D128" s="11"/>
      <c r="E128" s="11"/>
      <c r="F128" s="11"/>
      <c r="G128" s="11"/>
      <c r="H128" s="21" t="s">
        <v>66</v>
      </c>
      <c r="I128" s="21"/>
      <c r="J128" s="22" t="s">
        <v>327</v>
      </c>
    </row>
    <row r="129" spans="1:11" x14ac:dyDescent="0.25">
      <c r="B129" s="26"/>
      <c r="C129" s="13"/>
      <c r="D129" s="13"/>
      <c r="E129" s="13"/>
      <c r="F129" s="13"/>
      <c r="G129" s="13"/>
      <c r="H129" s="23" t="s">
        <v>67</v>
      </c>
      <c r="I129" s="23"/>
      <c r="J129" s="24" t="s">
        <v>328</v>
      </c>
    </row>
    <row r="130" spans="1:11" x14ac:dyDescent="0.25">
      <c r="B130" s="26"/>
      <c r="C130" s="13"/>
      <c r="D130" s="13"/>
      <c r="E130" s="13"/>
      <c r="F130" s="13"/>
      <c r="G130" s="13"/>
      <c r="H130" s="23" t="s">
        <v>68</v>
      </c>
      <c r="I130" s="23"/>
      <c r="J130" s="24" t="s">
        <v>329</v>
      </c>
    </row>
    <row r="131" spans="1:11" ht="6.75" customHeight="1" x14ac:dyDescent="0.25">
      <c r="B131" s="26"/>
      <c r="C131" s="13"/>
      <c r="D131" s="13"/>
      <c r="E131" s="13"/>
      <c r="F131" s="13"/>
      <c r="G131" s="13"/>
      <c r="H131" s="13"/>
      <c r="I131" s="13"/>
      <c r="J131" s="53"/>
    </row>
    <row r="132" spans="1:11" ht="15.75" customHeight="1" x14ac:dyDescent="0.25">
      <c r="B132" s="414" t="s">
        <v>69</v>
      </c>
      <c r="C132" s="415"/>
      <c r="D132" s="415"/>
      <c r="E132" s="415"/>
      <c r="F132" s="415"/>
      <c r="G132" s="13"/>
      <c r="H132" s="246">
        <f>J97</f>
        <v>4495.3517895597524</v>
      </c>
      <c r="I132" s="246"/>
      <c r="J132" s="247">
        <f>J96</f>
        <v>1349.9554923602861</v>
      </c>
    </row>
    <row r="133" spans="1:11" ht="15.75" customHeight="1" x14ac:dyDescent="0.3">
      <c r="B133" s="414" t="s">
        <v>70</v>
      </c>
      <c r="C133" s="415"/>
      <c r="D133" s="415"/>
      <c r="E133" s="415"/>
      <c r="F133" s="415"/>
      <c r="G133" s="13"/>
      <c r="H133" s="242">
        <v>0</v>
      </c>
      <c r="I133" s="246"/>
      <c r="J133" s="243">
        <v>0</v>
      </c>
      <c r="K133" s="171" t="s">
        <v>338</v>
      </c>
    </row>
    <row r="134" spans="1:11" ht="15.6" thickBot="1" x14ac:dyDescent="0.3">
      <c r="B134" s="414" t="s">
        <v>71</v>
      </c>
      <c r="C134" s="415"/>
      <c r="D134" s="415"/>
      <c r="E134" s="415"/>
      <c r="F134" s="415"/>
      <c r="G134" s="13"/>
      <c r="H134" s="248">
        <f>SUM(H132:H133)</f>
        <v>4495.3517895597524</v>
      </c>
      <c r="I134" s="246"/>
      <c r="J134" s="249">
        <f>SUM(J132:J133)</f>
        <v>1349.9554923602861</v>
      </c>
    </row>
    <row r="135" spans="1:11" ht="16.2" thickTop="1" thickBot="1" x14ac:dyDescent="0.3">
      <c r="B135" s="40"/>
      <c r="C135" s="17"/>
      <c r="D135" s="17"/>
      <c r="E135" s="17"/>
      <c r="F135" s="17"/>
      <c r="G135" s="17"/>
      <c r="H135" s="18"/>
      <c r="I135" s="18"/>
      <c r="J135" s="54"/>
    </row>
    <row r="136" spans="1:11" ht="15.6" thickBot="1" x14ac:dyDescent="0.3"/>
    <row r="137" spans="1:11" s="1" customFormat="1" ht="16.2" thickBot="1" x14ac:dyDescent="0.35">
      <c r="A137" s="35" t="s">
        <v>72</v>
      </c>
      <c r="B137" s="1" t="s">
        <v>149</v>
      </c>
    </row>
    <row r="138" spans="1:11" s="162" customFormat="1" ht="15.6" x14ac:dyDescent="0.3">
      <c r="A138" s="181" t="s">
        <v>315</v>
      </c>
    </row>
    <row r="139" spans="1:11" s="162" customFormat="1" ht="15.6" x14ac:dyDescent="0.3">
      <c r="A139" s="181" t="s">
        <v>316</v>
      </c>
      <c r="H139" s="4" t="s">
        <v>73</v>
      </c>
      <c r="I139" s="4"/>
      <c r="J139" s="4" t="s">
        <v>74</v>
      </c>
    </row>
    <row r="140" spans="1:11" s="1" customFormat="1" ht="5.25" customHeight="1" x14ac:dyDescent="0.3"/>
    <row r="141" spans="1:11" ht="15" customHeight="1" x14ac:dyDescent="0.25">
      <c r="A141" s="2" t="s">
        <v>75</v>
      </c>
      <c r="H141" s="298">
        <f>F52</f>
        <v>3922.9536072999999</v>
      </c>
      <c r="I141" s="298"/>
      <c r="J141" s="298"/>
    </row>
    <row r="142" spans="1:11" ht="15" customHeight="1" x14ac:dyDescent="0.25">
      <c r="A142" s="2" t="s">
        <v>76</v>
      </c>
      <c r="H142" s="298">
        <f>F53</f>
        <v>324007.47516690003</v>
      </c>
      <c r="I142" s="298"/>
      <c r="J142" s="298"/>
    </row>
    <row r="143" spans="1:11" s="172" customFormat="1" ht="15" customHeight="1" x14ac:dyDescent="0.25">
      <c r="A143" s="172" t="s">
        <v>334</v>
      </c>
      <c r="H143" s="298"/>
      <c r="I143" s="298"/>
      <c r="J143" s="298">
        <f>F54</f>
        <v>0</v>
      </c>
    </row>
    <row r="144" spans="1:11" ht="15" customHeight="1" x14ac:dyDescent="0.25">
      <c r="A144" s="2" t="s">
        <v>77</v>
      </c>
      <c r="H144" s="298"/>
      <c r="I144" s="298"/>
      <c r="J144" s="298">
        <f>F55</f>
        <v>228161.2243036</v>
      </c>
    </row>
    <row r="145" spans="1:10" x14ac:dyDescent="0.25">
      <c r="A145" s="2" t="s">
        <v>78</v>
      </c>
      <c r="H145" s="298"/>
      <c r="I145" s="298"/>
      <c r="J145" s="298">
        <f>H141+H142-J143-J144</f>
        <v>99769.204470600031</v>
      </c>
    </row>
    <row r="146" spans="1:10" ht="5.25" customHeight="1" x14ac:dyDescent="0.25">
      <c r="H146" s="302"/>
      <c r="I146" s="302"/>
      <c r="J146" s="302"/>
    </row>
    <row r="147" spans="1:10" ht="13.5" customHeight="1" x14ac:dyDescent="0.25">
      <c r="A147" s="2" t="s">
        <v>150</v>
      </c>
      <c r="H147" s="302"/>
      <c r="I147" s="302"/>
      <c r="J147" s="302"/>
    </row>
    <row r="148" spans="1:10" x14ac:dyDescent="0.25">
      <c r="H148" s="302"/>
      <c r="I148" s="302"/>
      <c r="J148" s="302"/>
    </row>
    <row r="149" spans="1:10" x14ac:dyDescent="0.25">
      <c r="A149" s="2" t="s">
        <v>887</v>
      </c>
      <c r="H149" s="298">
        <f>H104</f>
        <v>30238.980000000003</v>
      </c>
      <c r="I149" s="298"/>
      <c r="J149" s="298"/>
    </row>
    <row r="150" spans="1:10" x14ac:dyDescent="0.25">
      <c r="A150" s="2" t="s">
        <v>79</v>
      </c>
      <c r="H150" s="298"/>
      <c r="I150" s="298"/>
      <c r="J150" s="298">
        <f>H149</f>
        <v>30238.980000000003</v>
      </c>
    </row>
    <row r="151" spans="1:10" ht="4.5" customHeight="1" x14ac:dyDescent="0.25">
      <c r="H151" s="302"/>
      <c r="I151" s="302"/>
      <c r="J151" s="302"/>
    </row>
    <row r="152" spans="1:10" x14ac:dyDescent="0.25">
      <c r="A152" s="2" t="s">
        <v>80</v>
      </c>
      <c r="H152" s="302"/>
      <c r="I152" s="302"/>
      <c r="J152" s="302"/>
    </row>
    <row r="153" spans="1:10" x14ac:dyDescent="0.25">
      <c r="A153" s="2" t="s">
        <v>792</v>
      </c>
      <c r="H153" s="302"/>
      <c r="I153" s="302"/>
      <c r="J153" s="302"/>
    </row>
    <row r="154" spans="1:10" s="217" customFormat="1" x14ac:dyDescent="0.25">
      <c r="A154" s="217" t="s">
        <v>791</v>
      </c>
      <c r="H154" s="302"/>
      <c r="I154" s="302"/>
      <c r="J154" s="302"/>
    </row>
    <row r="155" spans="1:10" x14ac:dyDescent="0.25">
      <c r="H155" s="302"/>
      <c r="I155" s="302"/>
      <c r="J155" s="302"/>
    </row>
    <row r="156" spans="1:10" s="300" customFormat="1" x14ac:dyDescent="0.25">
      <c r="A156" s="300" t="s">
        <v>85</v>
      </c>
      <c r="H156" s="298">
        <f>IF('Change in Proportionate Share'!L39&gt;0,'Change in Proportionate Share'!L39,0)</f>
        <v>1245.4100000000003</v>
      </c>
      <c r="I156" s="298"/>
      <c r="J156" s="298"/>
    </row>
    <row r="157" spans="1:10" s="300" customFormat="1" x14ac:dyDescent="0.25">
      <c r="A157" s="300" t="s">
        <v>87</v>
      </c>
      <c r="H157" s="299"/>
      <c r="I157" s="299"/>
      <c r="J157" s="298">
        <f>IF('Change in Proportionate Share'!L59&lt;0,-'Change in Proportionate Share'!L59,0)</f>
        <v>4849.1399999999994</v>
      </c>
    </row>
    <row r="158" spans="1:10" s="300" customFormat="1" x14ac:dyDescent="0.25">
      <c r="A158" s="300" t="s">
        <v>78</v>
      </c>
      <c r="H158" s="298">
        <f>IF(J157&gt;H156,J157-H156,0)</f>
        <v>3603.7299999999991</v>
      </c>
      <c r="I158" s="299"/>
      <c r="J158" s="298">
        <f>IF(H156&gt;J157,H156-J157,0)</f>
        <v>0</v>
      </c>
    </row>
    <row r="159" spans="1:10" s="300" customFormat="1" ht="7.5" customHeight="1" x14ac:dyDescent="0.25"/>
    <row r="160" spans="1:10" s="172" customFormat="1" x14ac:dyDescent="0.25">
      <c r="A160" s="172" t="s">
        <v>339</v>
      </c>
      <c r="H160" s="300"/>
      <c r="I160" s="300"/>
      <c r="J160" s="300"/>
    </row>
    <row r="161" spans="1:10" s="172" customFormat="1" x14ac:dyDescent="0.25">
      <c r="A161" s="172" t="s">
        <v>340</v>
      </c>
      <c r="H161" s="300"/>
      <c r="I161" s="300"/>
      <c r="J161" s="300"/>
    </row>
    <row r="162" spans="1:10" s="172" customFormat="1" ht="15.6" thickBot="1" x14ac:dyDescent="0.3">
      <c r="H162" s="300"/>
      <c r="I162" s="300"/>
      <c r="J162" s="300"/>
    </row>
    <row r="163" spans="1:10" s="1" customFormat="1" ht="16.2" thickBot="1" x14ac:dyDescent="0.35">
      <c r="A163" s="35" t="s">
        <v>81</v>
      </c>
      <c r="B163" s="1" t="s">
        <v>927</v>
      </c>
      <c r="H163" s="332"/>
      <c r="I163" s="332"/>
      <c r="J163" s="332"/>
    </row>
    <row r="164" spans="1:10" x14ac:dyDescent="0.25">
      <c r="H164" s="333" t="s">
        <v>73</v>
      </c>
      <c r="I164" s="333"/>
      <c r="J164" s="333" t="s">
        <v>74</v>
      </c>
    </row>
    <row r="165" spans="1:10" ht="6" customHeight="1" x14ac:dyDescent="0.25">
      <c r="H165" s="333"/>
      <c r="I165" s="333"/>
      <c r="J165" s="333"/>
    </row>
    <row r="166" spans="1:10" s="300" customFormat="1" x14ac:dyDescent="0.25">
      <c r="A166" s="300" t="s">
        <v>85</v>
      </c>
      <c r="H166" s="298"/>
      <c r="I166" s="298"/>
      <c r="J166" s="298">
        <f>'Change in Proportionate Share'!M26+'Change in Proportionate Share'!M27+'Change in Proportionate Share'!M28+'Change in Proportionate Share'!M29+'Change in Proportionate Share'!M30+'Change in Proportionate Share'!M31+'Change in Proportionate Share'!M32+'Change in Proportionate Share'!M33+'Change in Proportionate Share'!M34</f>
        <v>1226.9400000000003</v>
      </c>
    </row>
    <row r="167" spans="1:10" s="300" customFormat="1" x14ac:dyDescent="0.25">
      <c r="A167" s="300" t="s">
        <v>86</v>
      </c>
      <c r="H167" s="298">
        <f>IF(J166+J168&gt;H166+H168,J166+J168-H166-H168,0)</f>
        <v>0</v>
      </c>
      <c r="I167" s="298"/>
      <c r="J167" s="298">
        <f>IF(H166+H168&gt;J166+J168, H166+H168-J166-J168,0)</f>
        <v>884.42999999999961</v>
      </c>
    </row>
    <row r="168" spans="1:10" s="300" customFormat="1" x14ac:dyDescent="0.25">
      <c r="A168" s="300" t="s">
        <v>87</v>
      </c>
      <c r="H168" s="298">
        <f>-'Change in Proportionate Share'!M46+-'Change in Proportionate Share'!M47+-'Change in Proportionate Share'!M48+-'Change in Proportionate Share'!M49+-'Change in Proportionate Share'!M50+-'Change in Proportionate Share'!M51+-'Change in Proportionate Share'!M52+-'Change in Proportionate Share'!M53+-'Change in Proportionate Share'!M54</f>
        <v>2111.37</v>
      </c>
      <c r="I168" s="299"/>
      <c r="J168" s="298"/>
    </row>
    <row r="169" spans="1:10" s="300" customFormat="1" ht="7.5" customHeight="1" x14ac:dyDescent="0.25"/>
    <row r="170" spans="1:10" s="184" customFormat="1" x14ac:dyDescent="0.25">
      <c r="A170" s="184" t="s">
        <v>89</v>
      </c>
      <c r="H170" s="300"/>
      <c r="I170" s="300"/>
      <c r="J170" s="300"/>
    </row>
    <row r="171" spans="1:10" s="184" customFormat="1" ht="15.6" x14ac:dyDescent="0.3">
      <c r="A171" s="184" t="s">
        <v>811</v>
      </c>
      <c r="H171" s="300"/>
      <c r="I171" s="300"/>
      <c r="J171" s="300"/>
    </row>
    <row r="172" spans="1:10" s="184" customFormat="1" x14ac:dyDescent="0.25">
      <c r="H172" s="300"/>
      <c r="I172" s="300"/>
      <c r="J172" s="300"/>
    </row>
    <row r="173" spans="1:10" s="172" customFormat="1" ht="17.25" customHeight="1" x14ac:dyDescent="0.25">
      <c r="A173" s="172" t="s">
        <v>335</v>
      </c>
      <c r="H173" s="297">
        <f>IF(J52&gt;0,J52,0)</f>
        <v>0</v>
      </c>
      <c r="I173" s="301"/>
      <c r="J173" s="297">
        <f>IF(J52&lt;0,-J52,0)</f>
        <v>108.76495629999954</v>
      </c>
    </row>
    <row r="174" spans="1:10" x14ac:dyDescent="0.25">
      <c r="A174" s="2" t="s">
        <v>82</v>
      </c>
      <c r="H174" s="297">
        <f>IF(J53&gt;0,J53,0)</f>
        <v>0</v>
      </c>
      <c r="I174" s="301"/>
      <c r="J174" s="297">
        <f>IF(J53&lt;0,-J53,0)</f>
        <v>60097.161543840019</v>
      </c>
    </row>
    <row r="175" spans="1:10" s="172" customFormat="1" x14ac:dyDescent="0.25">
      <c r="A175" s="172" t="s">
        <v>336</v>
      </c>
      <c r="H175" s="297">
        <f>IF(K54&lt;0,-K54,0)</f>
        <v>0</v>
      </c>
      <c r="I175" s="301"/>
      <c r="J175" s="297">
        <f>IF(K54&gt;0,K54,0)</f>
        <v>0</v>
      </c>
    </row>
    <row r="176" spans="1:10" x14ac:dyDescent="0.25">
      <c r="A176" s="2" t="s">
        <v>337</v>
      </c>
      <c r="H176" s="297">
        <f>IF(K55&lt;0,-K55,0)</f>
        <v>37542.887651739991</v>
      </c>
      <c r="I176" s="301"/>
      <c r="J176" s="297">
        <f>IF(K55&gt;0,K55,0)</f>
        <v>0</v>
      </c>
    </row>
    <row r="177" spans="1:10" x14ac:dyDescent="0.25">
      <c r="A177" s="2" t="s">
        <v>83</v>
      </c>
      <c r="H177" s="298">
        <f>IF(J60&gt;0,J60,0)</f>
        <v>16817.731566480001</v>
      </c>
      <c r="I177" s="298"/>
      <c r="J177" s="298">
        <f>IF(J60&lt;0,-J60,0)</f>
        <v>0</v>
      </c>
    </row>
    <row r="178" spans="1:10" ht="5.25" customHeight="1" x14ac:dyDescent="0.25">
      <c r="H178" s="302"/>
      <c r="I178" s="302"/>
      <c r="J178" s="302"/>
    </row>
    <row r="179" spans="1:10" ht="15.75" customHeight="1" x14ac:dyDescent="0.25">
      <c r="A179" s="2" t="s">
        <v>84</v>
      </c>
      <c r="H179" s="300"/>
      <c r="I179" s="300"/>
      <c r="J179" s="300"/>
    </row>
    <row r="180" spans="1:10" ht="15.6" x14ac:dyDescent="0.3">
      <c r="A180" s="2" t="s">
        <v>793</v>
      </c>
      <c r="H180" s="300"/>
      <c r="I180" s="300"/>
      <c r="J180" s="300"/>
    </row>
    <row r="181" spans="1:10" x14ac:dyDescent="0.25">
      <c r="H181" s="300"/>
      <c r="I181" s="300"/>
      <c r="J181" s="300"/>
    </row>
    <row r="182" spans="1:10" s="300" customFormat="1" x14ac:dyDescent="0.25">
      <c r="A182" s="300" t="s">
        <v>85</v>
      </c>
      <c r="H182" s="298">
        <f>IF(H134&gt;0,H134,0)</f>
        <v>4495.3517895597524</v>
      </c>
      <c r="I182" s="298"/>
      <c r="J182" s="298"/>
    </row>
    <row r="183" spans="1:10" s="300" customFormat="1" x14ac:dyDescent="0.25">
      <c r="A183" s="300" t="s">
        <v>86</v>
      </c>
      <c r="H183" s="298">
        <f>IF(J134&gt;0,J134,0)</f>
        <v>1349.9554923602861</v>
      </c>
      <c r="I183" s="298"/>
      <c r="J183" s="298"/>
    </row>
    <row r="184" spans="1:10" s="300" customFormat="1" x14ac:dyDescent="0.25">
      <c r="A184" s="300" t="s">
        <v>87</v>
      </c>
      <c r="H184" s="299"/>
      <c r="I184" s="299"/>
      <c r="J184" s="298">
        <f>IF(H134&lt;0,-H134,0)</f>
        <v>0</v>
      </c>
    </row>
    <row r="185" spans="1:10" s="300" customFormat="1" x14ac:dyDescent="0.25">
      <c r="A185" s="300" t="s">
        <v>88</v>
      </c>
      <c r="H185" s="299"/>
      <c r="I185" s="299"/>
      <c r="J185" s="298">
        <f>IF(J134&lt;0,-J134,0)</f>
        <v>0</v>
      </c>
    </row>
    <row r="186" spans="1:10" ht="7.5" customHeight="1" x14ac:dyDescent="0.25">
      <c r="H186" s="300"/>
      <c r="I186" s="300"/>
      <c r="J186" s="300"/>
    </row>
    <row r="187" spans="1:10" x14ac:dyDescent="0.25">
      <c r="A187" s="2" t="s">
        <v>89</v>
      </c>
      <c r="H187" s="300"/>
      <c r="I187" s="300"/>
      <c r="J187" s="300"/>
    </row>
    <row r="188" spans="1:10" ht="15.6" x14ac:dyDescent="0.3">
      <c r="A188" s="2" t="s">
        <v>90</v>
      </c>
      <c r="H188" s="300"/>
      <c r="I188" s="300"/>
      <c r="J188" s="300"/>
    </row>
    <row r="189" spans="1:10" x14ac:dyDescent="0.25">
      <c r="H189" s="300"/>
      <c r="I189" s="300"/>
      <c r="J189" s="300"/>
    </row>
    <row r="190" spans="1:10" x14ac:dyDescent="0.25">
      <c r="A190" s="2" t="s">
        <v>928</v>
      </c>
      <c r="H190" s="298">
        <f>H104</f>
        <v>30238.980000000003</v>
      </c>
      <c r="I190" s="298"/>
      <c r="J190" s="298"/>
    </row>
    <row r="191" spans="1:10" x14ac:dyDescent="0.25">
      <c r="A191" s="2" t="s">
        <v>929</v>
      </c>
      <c r="H191" s="298"/>
      <c r="I191" s="298"/>
      <c r="J191" s="298">
        <f>H190</f>
        <v>30238.980000000003</v>
      </c>
    </row>
    <row r="192" spans="1:10" ht="4.5" customHeight="1" x14ac:dyDescent="0.25">
      <c r="H192" s="298"/>
      <c r="I192" s="298"/>
      <c r="J192" s="298"/>
    </row>
    <row r="193" spans="1:10" x14ac:dyDescent="0.25">
      <c r="A193" s="2" t="s">
        <v>91</v>
      </c>
      <c r="H193" s="298"/>
      <c r="I193" s="298"/>
      <c r="J193" s="298"/>
    </row>
    <row r="194" spans="1:10" x14ac:dyDescent="0.25">
      <c r="H194" s="299"/>
      <c r="I194" s="299"/>
      <c r="J194" s="299"/>
    </row>
    <row r="195" spans="1:10" x14ac:dyDescent="0.25">
      <c r="A195" s="2" t="s">
        <v>930</v>
      </c>
      <c r="H195" s="298">
        <f>H108</f>
        <v>31599.719999999998</v>
      </c>
      <c r="I195" s="298"/>
      <c r="J195" s="298"/>
    </row>
    <row r="196" spans="1:10" x14ac:dyDescent="0.25">
      <c r="A196" s="2" t="s">
        <v>931</v>
      </c>
      <c r="H196" s="298"/>
      <c r="I196" s="298"/>
      <c r="J196" s="298">
        <f>H195</f>
        <v>31599.719999999998</v>
      </c>
    </row>
    <row r="197" spans="1:10" ht="8.25" customHeight="1" x14ac:dyDescent="0.25">
      <c r="H197" s="16"/>
      <c r="I197" s="16"/>
      <c r="J197" s="16"/>
    </row>
    <row r="198" spans="1:10" x14ac:dyDescent="0.25">
      <c r="A198" s="2" t="s">
        <v>92</v>
      </c>
      <c r="H198" s="16"/>
      <c r="I198" s="16"/>
      <c r="J198" s="16"/>
    </row>
    <row r="199" spans="1:10" ht="15.6" thickBot="1" x14ac:dyDescent="0.3"/>
    <row r="200" spans="1:10" ht="16.2" thickBot="1" x14ac:dyDescent="0.35">
      <c r="A200" s="35" t="s">
        <v>93</v>
      </c>
      <c r="B200" s="2" t="s">
        <v>154</v>
      </c>
    </row>
    <row r="201" spans="1:10" ht="15.6" x14ac:dyDescent="0.3">
      <c r="A201" s="31"/>
      <c r="B201" s="1" t="s">
        <v>153</v>
      </c>
    </row>
    <row r="202" spans="1:10" x14ac:dyDescent="0.25">
      <c r="B202" s="75" t="s">
        <v>124</v>
      </c>
    </row>
    <row r="203" spans="1:10" x14ac:dyDescent="0.25">
      <c r="B203" s="55"/>
    </row>
  </sheetData>
  <mergeCells count="40">
    <mergeCell ref="C99:D99"/>
    <mergeCell ref="J48:K48"/>
    <mergeCell ref="A55:D55"/>
    <mergeCell ref="B133:F133"/>
    <mergeCell ref="B134:F134"/>
    <mergeCell ref="H109:L109"/>
    <mergeCell ref="H110:L110"/>
    <mergeCell ref="H111:L111"/>
    <mergeCell ref="B120:D120"/>
    <mergeCell ref="D123:J123"/>
    <mergeCell ref="D124:J124"/>
    <mergeCell ref="B132:F132"/>
    <mergeCell ref="B106:F106"/>
    <mergeCell ref="J106:L106"/>
    <mergeCell ref="B108:F108"/>
    <mergeCell ref="J108:L108"/>
    <mergeCell ref="J104:L104"/>
    <mergeCell ref="B104:F104"/>
    <mergeCell ref="K84:L84"/>
    <mergeCell ref="A1:D1"/>
    <mergeCell ref="A2:D2"/>
    <mergeCell ref="A56:D56"/>
    <mergeCell ref="K83:L83"/>
    <mergeCell ref="A34:F34"/>
    <mergeCell ref="A35:F35"/>
    <mergeCell ref="A36:F36"/>
    <mergeCell ref="A37:F37"/>
    <mergeCell ref="A39:F39"/>
    <mergeCell ref="A40:F40"/>
    <mergeCell ref="A43:F43"/>
    <mergeCell ref="C78:D78"/>
    <mergeCell ref="A52:D52"/>
    <mergeCell ref="A53:D53"/>
    <mergeCell ref="A54:D54"/>
    <mergeCell ref="J47:K47"/>
    <mergeCell ref="F94:J94"/>
    <mergeCell ref="B89:D89"/>
    <mergeCell ref="B90:D90"/>
    <mergeCell ref="B91:D91"/>
    <mergeCell ref="A57:F57"/>
  </mergeCells>
  <pageMargins left="0.7" right="0.7" top="0.75" bottom="0.75" header="0.3" footer="0.3"/>
  <pageSetup scale="38" orientation="portrait" r:id="rId1"/>
  <headerFooter>
    <oddHeader>&amp;C&amp;A</oddHeader>
  </headerFooter>
  <rowBreaks count="1" manualBreakCount="1">
    <brk id="98"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activeCell="B7" sqref="B7"/>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20" t="s">
        <v>460</v>
      </c>
      <c r="B1" s="420"/>
      <c r="C1" s="420"/>
      <c r="D1" s="420"/>
      <c r="E1" s="420"/>
      <c r="F1" s="420"/>
      <c r="G1" s="420"/>
      <c r="H1" s="420"/>
      <c r="I1" s="420"/>
      <c r="J1" s="420"/>
      <c r="K1" s="420"/>
      <c r="L1" s="420"/>
      <c r="M1" s="420"/>
      <c r="N1" s="420"/>
      <c r="O1" s="420"/>
    </row>
    <row r="2" spans="1:15" x14ac:dyDescent="0.3">
      <c r="A2" s="419" t="s">
        <v>125</v>
      </c>
      <c r="B2" s="419"/>
      <c r="C2" s="419"/>
      <c r="D2" s="419"/>
      <c r="E2" s="419"/>
    </row>
    <row r="4" spans="1:15" x14ac:dyDescent="0.3">
      <c r="B4" s="66" t="s">
        <v>126</v>
      </c>
    </row>
    <row r="5" spans="1:15" x14ac:dyDescent="0.3">
      <c r="A5" s="67" t="s">
        <v>127</v>
      </c>
      <c r="B5" s="67" t="s">
        <v>75</v>
      </c>
      <c r="C5" s="77">
        <f>Calculations!H141</f>
        <v>3922.9536072999999</v>
      </c>
      <c r="D5" s="78"/>
      <c r="E5" s="61" t="s">
        <v>128</v>
      </c>
    </row>
    <row r="6" spans="1:15" x14ac:dyDescent="0.3">
      <c r="B6" s="67" t="s">
        <v>129</v>
      </c>
      <c r="C6" s="77">
        <f>Calculations!H142+Calculations!H149+Calculations!H156</f>
        <v>355491.86516689998</v>
      </c>
      <c r="D6" s="78"/>
      <c r="E6" s="61" t="s">
        <v>128</v>
      </c>
    </row>
    <row r="7" spans="1:15" x14ac:dyDescent="0.3">
      <c r="B7" s="67" t="s">
        <v>342</v>
      </c>
      <c r="C7" s="77"/>
      <c r="D7" s="78">
        <f>Calculations!J143</f>
        <v>0</v>
      </c>
      <c r="E7" s="61" t="s">
        <v>128</v>
      </c>
    </row>
    <row r="8" spans="1:15" x14ac:dyDescent="0.3">
      <c r="A8" s="61" t="s">
        <v>157</v>
      </c>
      <c r="B8" s="67" t="s">
        <v>158</v>
      </c>
      <c r="C8" s="77"/>
      <c r="D8" s="78">
        <f>Calculations!J144+Calculations!J157</f>
        <v>233010.36430359998</v>
      </c>
      <c r="E8" s="61" t="s">
        <v>128</v>
      </c>
    </row>
    <row r="9" spans="1:15" x14ac:dyDescent="0.3">
      <c r="B9" s="67" t="s">
        <v>130</v>
      </c>
      <c r="C9" s="78"/>
      <c r="D9" s="77">
        <f>Calculations!J145+Calculations!J150+Calculations!J158-Calculations!H158</f>
        <v>126404.45447060005</v>
      </c>
      <c r="E9" s="61" t="s">
        <v>128</v>
      </c>
    </row>
    <row r="10" spans="1:15" ht="9" customHeight="1" x14ac:dyDescent="0.3">
      <c r="B10" s="67"/>
      <c r="C10" s="79"/>
      <c r="D10" s="79"/>
    </row>
    <row r="11" spans="1:15" x14ac:dyDescent="0.3">
      <c r="B11" s="67" t="s">
        <v>131</v>
      </c>
      <c r="C11" s="80"/>
      <c r="D11" s="77">
        <f>D9</f>
        <v>126404.45447060005</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Calculations!H173</f>
        <v>0</v>
      </c>
      <c r="D16" s="78">
        <f>Calculations!J173</f>
        <v>108.76495629999954</v>
      </c>
      <c r="E16" s="61" t="s">
        <v>128</v>
      </c>
    </row>
    <row r="17" spans="1:11" x14ac:dyDescent="0.3">
      <c r="A17" s="67"/>
      <c r="B17" s="61" t="s">
        <v>129</v>
      </c>
      <c r="C17" s="379">
        <f>Calculations!H174+Calculations!H182+Calculations!H166-Calculations!J166</f>
        <v>3268.4117895597519</v>
      </c>
      <c r="D17" s="78">
        <f>Calculations!J174</f>
        <v>60097.161543840019</v>
      </c>
      <c r="E17" s="61" t="s">
        <v>128</v>
      </c>
    </row>
    <row r="18" spans="1:11" x14ac:dyDescent="0.3">
      <c r="B18" s="61" t="s">
        <v>343</v>
      </c>
      <c r="C18" s="78">
        <f>Calculations!H175</f>
        <v>0</v>
      </c>
      <c r="D18" s="78">
        <f>Calculations!J175</f>
        <v>0</v>
      </c>
      <c r="E18" s="61" t="s">
        <v>128</v>
      </c>
    </row>
    <row r="19" spans="1:11" x14ac:dyDescent="0.3">
      <c r="B19" s="61" t="s">
        <v>162</v>
      </c>
      <c r="C19" s="78">
        <f>Calculations!H176</f>
        <v>37542.887651739991</v>
      </c>
      <c r="D19" s="78">
        <f>Calculations!J168+Calculations!J184+Calculations!J176-Calculations!H168</f>
        <v>-2111.37</v>
      </c>
      <c r="E19" s="61" t="s">
        <v>128</v>
      </c>
    </row>
    <row r="20" spans="1:11" x14ac:dyDescent="0.3">
      <c r="B20" s="61" t="s">
        <v>136</v>
      </c>
      <c r="C20" s="78">
        <f>IF(Calculations!H177&gt;0, Calculations!H177+Calculations!H183-Calculations!J185+Calculations!H167-Calculations!J167,0)</f>
        <v>17283.257058840285</v>
      </c>
      <c r="D20" s="78">
        <f>IF(Calculations!J177&gt;0,Calculations!J177-Calculations!H183+Calculations!J185+Calculations!J167-Calculations!H167,0)</f>
        <v>0</v>
      </c>
      <c r="E20" s="61" t="s">
        <v>128</v>
      </c>
    </row>
    <row r="21" spans="1:11" x14ac:dyDescent="0.3">
      <c r="C21" s="78"/>
      <c r="D21" s="78"/>
    </row>
    <row r="22" spans="1:11" x14ac:dyDescent="0.3">
      <c r="B22" s="61" t="s">
        <v>163</v>
      </c>
      <c r="C22" s="78">
        <f>C20</f>
        <v>17283.257058840285</v>
      </c>
      <c r="D22" s="78">
        <f>D20</f>
        <v>0</v>
      </c>
      <c r="E22" s="64" t="s">
        <v>132</v>
      </c>
      <c r="F22" s="69" t="s">
        <v>137</v>
      </c>
    </row>
    <row r="23" spans="1:11" x14ac:dyDescent="0.3">
      <c r="B23" s="70" t="s">
        <v>344</v>
      </c>
      <c r="C23" s="72" t="s">
        <v>138</v>
      </c>
      <c r="D23" s="63"/>
      <c r="E23" s="63" t="s">
        <v>132</v>
      </c>
      <c r="F23" s="69"/>
    </row>
    <row r="24" spans="1:11" x14ac:dyDescent="0.3">
      <c r="B24" s="70" t="s">
        <v>345</v>
      </c>
      <c r="C24" s="72" t="s">
        <v>138</v>
      </c>
      <c r="D24" s="63"/>
      <c r="E24" s="63" t="s">
        <v>132</v>
      </c>
      <c r="F24" s="69"/>
    </row>
    <row r="25" spans="1:11" x14ac:dyDescent="0.3">
      <c r="B25" s="70" t="s">
        <v>346</v>
      </c>
      <c r="C25" s="72" t="s">
        <v>138</v>
      </c>
      <c r="D25" s="63"/>
      <c r="E25" s="63" t="s">
        <v>132</v>
      </c>
    </row>
    <row r="26" spans="1:11" x14ac:dyDescent="0.3">
      <c r="B26" s="70" t="s">
        <v>347</v>
      </c>
      <c r="C26" s="72" t="s">
        <v>138</v>
      </c>
      <c r="D26" s="63"/>
      <c r="E26" s="63" t="s">
        <v>132</v>
      </c>
    </row>
    <row r="27" spans="1:11" x14ac:dyDescent="0.3">
      <c r="B27" s="70" t="s">
        <v>348</v>
      </c>
      <c r="C27" s="72" t="s">
        <v>138</v>
      </c>
      <c r="D27" s="63"/>
      <c r="E27" s="63" t="s">
        <v>132</v>
      </c>
    </row>
    <row r="28" spans="1:11" x14ac:dyDescent="0.3">
      <c r="B28" s="70" t="s">
        <v>349</v>
      </c>
      <c r="C28" s="72" t="s">
        <v>138</v>
      </c>
      <c r="D28" s="63"/>
      <c r="E28" s="63" t="s">
        <v>132</v>
      </c>
    </row>
    <row r="29" spans="1:11" ht="8.25" customHeight="1" x14ac:dyDescent="0.3">
      <c r="B29" s="70" t="s">
        <v>350</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777</v>
      </c>
      <c r="C33" s="68"/>
      <c r="D33" s="68"/>
    </row>
    <row r="34" spans="1:6" x14ac:dyDescent="0.3">
      <c r="B34" s="67"/>
    </row>
    <row r="35" spans="1:6" x14ac:dyDescent="0.3">
      <c r="A35" s="67" t="s">
        <v>140</v>
      </c>
      <c r="B35" s="67" t="s">
        <v>141</v>
      </c>
      <c r="C35" s="77">
        <f>Calculations!H190</f>
        <v>30238.980000000003</v>
      </c>
      <c r="D35" s="77"/>
      <c r="E35" s="67" t="s">
        <v>128</v>
      </c>
    </row>
    <row r="36" spans="1:6" x14ac:dyDescent="0.3">
      <c r="B36" s="67" t="s">
        <v>143</v>
      </c>
      <c r="C36" s="78"/>
      <c r="D36" s="77">
        <f>Calculations!J191</f>
        <v>30238.980000000003</v>
      </c>
      <c r="E36" s="67" t="s">
        <v>128</v>
      </c>
    </row>
    <row r="37" spans="1:6" x14ac:dyDescent="0.3">
      <c r="B37" s="67"/>
      <c r="C37" s="79"/>
      <c r="D37" s="80"/>
      <c r="E37" s="67"/>
    </row>
    <row r="38" spans="1:6" x14ac:dyDescent="0.3">
      <c r="A38" s="67"/>
      <c r="B38" s="67" t="s">
        <v>144</v>
      </c>
      <c r="C38" s="81">
        <f>C35</f>
        <v>30238.980000000003</v>
      </c>
      <c r="D38" s="80"/>
      <c r="E38" s="64" t="s">
        <v>132</v>
      </c>
      <c r="F38" s="69" t="s">
        <v>137</v>
      </c>
    </row>
    <row r="39" spans="1:6" x14ac:dyDescent="0.3">
      <c r="B39" s="70" t="s">
        <v>344</v>
      </c>
      <c r="C39" s="72" t="s">
        <v>138</v>
      </c>
      <c r="D39" s="63"/>
      <c r="E39" s="63" t="s">
        <v>132</v>
      </c>
      <c r="F39" s="69"/>
    </row>
    <row r="40" spans="1:6" x14ac:dyDescent="0.3">
      <c r="B40" s="70" t="s">
        <v>345</v>
      </c>
      <c r="C40" s="72" t="s">
        <v>138</v>
      </c>
      <c r="D40" s="63"/>
      <c r="E40" s="63" t="s">
        <v>132</v>
      </c>
      <c r="F40" s="69"/>
    </row>
    <row r="41" spans="1:6" x14ac:dyDescent="0.3">
      <c r="B41" s="70" t="s">
        <v>346</v>
      </c>
      <c r="C41" s="72" t="s">
        <v>138</v>
      </c>
      <c r="D41" s="63"/>
      <c r="E41" s="63" t="s">
        <v>132</v>
      </c>
    </row>
    <row r="42" spans="1:6" x14ac:dyDescent="0.3">
      <c r="B42" s="70" t="s">
        <v>347</v>
      </c>
      <c r="C42" s="72" t="s">
        <v>138</v>
      </c>
      <c r="D42" s="63"/>
      <c r="E42" s="63" t="s">
        <v>132</v>
      </c>
    </row>
    <row r="43" spans="1:6" x14ac:dyDescent="0.3">
      <c r="B43" s="70" t="s">
        <v>348</v>
      </c>
      <c r="C43" s="72" t="s">
        <v>138</v>
      </c>
      <c r="D43" s="63"/>
      <c r="E43" s="63" t="s">
        <v>132</v>
      </c>
    </row>
    <row r="44" spans="1:6" x14ac:dyDescent="0.3">
      <c r="B44" s="70" t="s">
        <v>349</v>
      </c>
      <c r="C44" s="72" t="s">
        <v>138</v>
      </c>
      <c r="D44" s="63"/>
      <c r="E44" s="63" t="s">
        <v>132</v>
      </c>
    </row>
    <row r="45" spans="1:6" x14ac:dyDescent="0.3">
      <c r="B45" s="70" t="s">
        <v>350</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Calculations!H195</f>
        <v>31599.719999999998</v>
      </c>
      <c r="D49" s="77"/>
      <c r="E49" s="67" t="s">
        <v>128</v>
      </c>
    </row>
    <row r="50" spans="1:6" x14ac:dyDescent="0.3">
      <c r="A50" s="67"/>
      <c r="B50" s="67" t="s">
        <v>136</v>
      </c>
      <c r="C50" s="77"/>
      <c r="D50" s="77">
        <f>Calculations!J196</f>
        <v>31599.719999999998</v>
      </c>
      <c r="E50" s="67" t="s">
        <v>128</v>
      </c>
    </row>
    <row r="51" spans="1:6" x14ac:dyDescent="0.3">
      <c r="A51" s="67"/>
      <c r="B51" s="67"/>
      <c r="C51" s="77"/>
      <c r="D51" s="77"/>
      <c r="E51" s="67"/>
    </row>
    <row r="52" spans="1:6" x14ac:dyDescent="0.3">
      <c r="A52" s="67"/>
      <c r="B52" s="67" t="s">
        <v>147</v>
      </c>
      <c r="C52" s="78"/>
      <c r="D52" s="77">
        <f>D50</f>
        <v>31599.719999999998</v>
      </c>
      <c r="E52" s="64" t="s">
        <v>132</v>
      </c>
      <c r="F52" s="69" t="s">
        <v>137</v>
      </c>
    </row>
    <row r="53" spans="1:6" x14ac:dyDescent="0.3">
      <c r="B53" s="70" t="s">
        <v>344</v>
      </c>
      <c r="C53" s="72"/>
      <c r="D53" s="72" t="s">
        <v>138</v>
      </c>
      <c r="E53" s="63" t="s">
        <v>132</v>
      </c>
      <c r="F53" s="69"/>
    </row>
    <row r="54" spans="1:6" x14ac:dyDescent="0.3">
      <c r="B54" s="70" t="s">
        <v>345</v>
      </c>
      <c r="C54" s="72"/>
      <c r="D54" s="72" t="s">
        <v>138</v>
      </c>
      <c r="E54" s="63" t="s">
        <v>132</v>
      </c>
      <c r="F54" s="69"/>
    </row>
    <row r="55" spans="1:6" x14ac:dyDescent="0.3">
      <c r="B55" s="70" t="s">
        <v>346</v>
      </c>
      <c r="C55" s="72"/>
      <c r="D55" s="72" t="s">
        <v>138</v>
      </c>
      <c r="E55" s="63" t="s">
        <v>132</v>
      </c>
    </row>
    <row r="56" spans="1:6" x14ac:dyDescent="0.3">
      <c r="B56" s="70" t="s">
        <v>347</v>
      </c>
      <c r="C56" s="72"/>
      <c r="D56" s="72" t="s">
        <v>138</v>
      </c>
      <c r="E56" s="63" t="s">
        <v>132</v>
      </c>
    </row>
    <row r="57" spans="1:6" x14ac:dyDescent="0.3">
      <c r="B57" s="70" t="s">
        <v>348</v>
      </c>
      <c r="C57" s="72"/>
      <c r="D57" s="72" t="s">
        <v>138</v>
      </c>
      <c r="E57" s="63" t="s">
        <v>132</v>
      </c>
    </row>
    <row r="58" spans="1:6" x14ac:dyDescent="0.3">
      <c r="B58" s="70" t="s">
        <v>349</v>
      </c>
      <c r="C58" s="72"/>
      <c r="D58" s="72" t="s">
        <v>138</v>
      </c>
      <c r="E58" s="63" t="s">
        <v>132</v>
      </c>
    </row>
    <row r="59" spans="1:6" x14ac:dyDescent="0.3">
      <c r="B59" s="70" t="s">
        <v>350</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activeCell="A2" sqref="A2:O2"/>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30" customWidth="1"/>
    <col min="7" max="7" width="19.44140625" style="61" customWidth="1"/>
    <col min="8" max="8" width="3.5546875" style="130"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85"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20" t="s">
        <v>460</v>
      </c>
      <c r="B1" s="420"/>
      <c r="C1" s="420"/>
      <c r="D1" s="420"/>
      <c r="E1" s="420"/>
      <c r="F1" s="420"/>
      <c r="G1" s="420"/>
      <c r="H1" s="420"/>
      <c r="I1" s="420"/>
      <c r="J1" s="420"/>
      <c r="K1" s="420"/>
      <c r="L1" s="420"/>
      <c r="M1" s="420"/>
      <c r="N1" s="420"/>
      <c r="O1" s="420"/>
    </row>
    <row r="2" spans="1:15" ht="17.399999999999999" x14ac:dyDescent="0.3">
      <c r="A2" s="421" t="s">
        <v>351</v>
      </c>
      <c r="B2" s="420"/>
      <c r="C2" s="420"/>
      <c r="D2" s="420"/>
      <c r="E2" s="420"/>
      <c r="F2" s="420"/>
      <c r="G2" s="420"/>
      <c r="H2" s="420"/>
      <c r="I2" s="420"/>
      <c r="J2" s="420"/>
      <c r="K2" s="420"/>
      <c r="L2" s="420"/>
      <c r="M2" s="420"/>
      <c r="N2" s="420"/>
      <c r="O2" s="420"/>
    </row>
    <row r="3" spans="1:15" ht="17.399999999999999" x14ac:dyDescent="0.3">
      <c r="A3" s="420" t="s">
        <v>352</v>
      </c>
      <c r="B3" s="420"/>
      <c r="C3" s="420"/>
      <c r="D3" s="420"/>
      <c r="E3" s="420"/>
      <c r="F3" s="420"/>
      <c r="G3" s="420"/>
      <c r="H3" s="420"/>
      <c r="I3" s="420"/>
      <c r="J3" s="420"/>
      <c r="K3" s="420"/>
      <c r="L3" s="420"/>
      <c r="M3" s="420"/>
      <c r="N3" s="420"/>
      <c r="O3" s="420"/>
    </row>
    <row r="4" spans="1:15" ht="15.9" customHeight="1" x14ac:dyDescent="0.3">
      <c r="A4" s="179"/>
      <c r="B4" s="179"/>
      <c r="C4" s="83"/>
      <c r="D4" s="83"/>
      <c r="E4" s="83"/>
      <c r="F4" s="83"/>
      <c r="G4" s="83"/>
      <c r="H4" s="83"/>
      <c r="I4" s="83"/>
      <c r="J4" s="83"/>
      <c r="K4" s="83"/>
      <c r="L4" s="83"/>
      <c r="M4" s="83" t="s">
        <v>287</v>
      </c>
    </row>
    <row r="5" spans="1:15" ht="15.9" customHeight="1" x14ac:dyDescent="0.3">
      <c r="A5" s="84"/>
      <c r="B5" s="84"/>
      <c r="C5" s="83" t="s">
        <v>164</v>
      </c>
      <c r="D5" s="83"/>
      <c r="E5" s="186"/>
      <c r="F5" s="83"/>
      <c r="G5" s="186"/>
      <c r="H5" s="83"/>
      <c r="I5" s="186"/>
      <c r="J5" s="186"/>
      <c r="K5" s="83"/>
      <c r="L5" s="83"/>
      <c r="M5" s="83" t="s">
        <v>353</v>
      </c>
      <c r="O5" s="187" t="s">
        <v>166</v>
      </c>
    </row>
    <row r="6" spans="1:15" ht="15.9" customHeight="1" x14ac:dyDescent="0.3">
      <c r="A6" s="84"/>
      <c r="B6" s="84"/>
      <c r="C6" s="83" t="s">
        <v>193</v>
      </c>
      <c r="D6" s="83"/>
      <c r="E6" s="188" t="s">
        <v>354</v>
      </c>
      <c r="F6" s="180"/>
      <c r="G6" s="180"/>
      <c r="H6" s="83"/>
      <c r="I6" s="83"/>
      <c r="J6" s="83"/>
      <c r="K6" s="83"/>
      <c r="L6" s="83"/>
      <c r="M6" s="83" t="s">
        <v>355</v>
      </c>
      <c r="O6" s="187" t="s">
        <v>168</v>
      </c>
    </row>
    <row r="7" spans="1:15" ht="15.9" customHeight="1" x14ac:dyDescent="0.3">
      <c r="A7" s="84"/>
      <c r="B7" s="84"/>
      <c r="C7" s="180" t="s">
        <v>167</v>
      </c>
      <c r="D7" s="83"/>
      <c r="E7" s="180" t="s">
        <v>73</v>
      </c>
      <c r="F7" s="83" t="s">
        <v>356</v>
      </c>
      <c r="G7" s="180" t="s">
        <v>74</v>
      </c>
      <c r="H7" s="83" t="s">
        <v>356</v>
      </c>
      <c r="I7" s="180"/>
      <c r="J7" s="83"/>
      <c r="K7" s="180"/>
      <c r="L7" s="83"/>
      <c r="M7" s="180" t="s">
        <v>167</v>
      </c>
      <c r="O7" s="187" t="s">
        <v>169</v>
      </c>
    </row>
    <row r="8" spans="1:15" ht="18" customHeight="1" x14ac:dyDescent="0.3">
      <c r="A8" s="84" t="s">
        <v>170</v>
      </c>
    </row>
    <row r="9" spans="1:15" ht="18" customHeight="1" x14ac:dyDescent="0.3">
      <c r="A9" s="82" t="s">
        <v>171</v>
      </c>
    </row>
    <row r="10" spans="1:15" ht="18" customHeight="1" x14ac:dyDescent="0.3">
      <c r="A10" s="61" t="s">
        <v>357</v>
      </c>
      <c r="C10" s="189"/>
      <c r="D10" s="190"/>
      <c r="E10" s="189"/>
      <c r="F10" s="191"/>
      <c r="G10" s="189"/>
      <c r="H10" s="191"/>
      <c r="I10" s="190"/>
      <c r="J10" s="190"/>
      <c r="K10" s="190"/>
      <c r="L10" s="190"/>
      <c r="M10" s="189">
        <f>+C10+E10-G10</f>
        <v>0</v>
      </c>
      <c r="O10" s="192" t="s">
        <v>358</v>
      </c>
    </row>
    <row r="11" spans="1:15" ht="18" customHeight="1" x14ac:dyDescent="0.3">
      <c r="A11" s="61" t="s">
        <v>359</v>
      </c>
      <c r="C11" s="189"/>
      <c r="D11" s="190"/>
      <c r="E11" s="189"/>
      <c r="F11" s="191"/>
      <c r="G11" s="189"/>
      <c r="H11" s="191"/>
      <c r="I11" s="190"/>
      <c r="J11" s="190"/>
      <c r="K11" s="190"/>
      <c r="L11" s="190"/>
      <c r="M11" s="189">
        <f>+C11+E11-G11</f>
        <v>0</v>
      </c>
      <c r="O11" s="192" t="s">
        <v>194</v>
      </c>
    </row>
    <row r="12" spans="1:15" ht="18" customHeight="1" x14ac:dyDescent="0.3">
      <c r="A12" s="61" t="s">
        <v>360</v>
      </c>
      <c r="C12" s="189"/>
      <c r="D12" s="190"/>
      <c r="E12" s="189"/>
      <c r="F12" s="191"/>
      <c r="G12" s="189"/>
      <c r="H12" s="191"/>
      <c r="I12" s="190"/>
      <c r="J12" s="190"/>
      <c r="K12" s="190"/>
      <c r="L12" s="190"/>
      <c r="M12" s="189">
        <f t="shared" ref="M12:M19" si="0">+C12+E12-G12</f>
        <v>0</v>
      </c>
      <c r="O12" s="192" t="s">
        <v>172</v>
      </c>
    </row>
    <row r="13" spans="1:15" ht="18" customHeight="1" x14ac:dyDescent="0.3">
      <c r="A13" s="61" t="s">
        <v>361</v>
      </c>
      <c r="C13" s="189"/>
      <c r="D13" s="190"/>
      <c r="E13" s="189"/>
      <c r="F13" s="191"/>
      <c r="G13" s="189"/>
      <c r="H13" s="191"/>
      <c r="I13" s="190"/>
      <c r="J13" s="190"/>
      <c r="K13" s="190"/>
      <c r="L13" s="190"/>
      <c r="M13" s="189">
        <f t="shared" si="0"/>
        <v>0</v>
      </c>
      <c r="O13" s="192" t="s">
        <v>362</v>
      </c>
    </row>
    <row r="14" spans="1:15" ht="18" customHeight="1" x14ac:dyDescent="0.3">
      <c r="A14" s="61" t="s">
        <v>363</v>
      </c>
      <c r="C14" s="189"/>
      <c r="D14" s="190"/>
      <c r="E14" s="189"/>
      <c r="F14" s="191"/>
      <c r="G14" s="189"/>
      <c r="H14" s="191"/>
      <c r="I14" s="190"/>
      <c r="J14" s="190"/>
      <c r="K14" s="190"/>
      <c r="L14" s="190"/>
      <c r="M14" s="189">
        <f t="shared" si="0"/>
        <v>0</v>
      </c>
      <c r="O14" s="192" t="s">
        <v>362</v>
      </c>
    </row>
    <row r="15" spans="1:15" ht="18" customHeight="1" x14ac:dyDescent="0.3">
      <c r="A15" s="61" t="s">
        <v>364</v>
      </c>
      <c r="C15" s="189"/>
      <c r="D15" s="190"/>
      <c r="E15" s="189"/>
      <c r="F15" s="191"/>
      <c r="G15" s="189"/>
      <c r="H15" s="191"/>
      <c r="I15" s="190"/>
      <c r="J15" s="190"/>
      <c r="K15" s="190"/>
      <c r="L15" s="190"/>
      <c r="M15" s="189">
        <f t="shared" si="0"/>
        <v>0</v>
      </c>
      <c r="O15" s="192" t="s">
        <v>362</v>
      </c>
    </row>
    <row r="16" spans="1:15" ht="18" customHeight="1" x14ac:dyDescent="0.3">
      <c r="A16" s="61" t="s">
        <v>365</v>
      </c>
      <c r="C16" s="189"/>
      <c r="D16" s="190"/>
      <c r="E16" s="189"/>
      <c r="F16" s="191"/>
      <c r="G16" s="189"/>
      <c r="H16" s="191"/>
      <c r="I16" s="190"/>
      <c r="J16" s="190"/>
      <c r="K16" s="190"/>
      <c r="L16" s="190"/>
      <c r="M16" s="189">
        <f t="shared" si="0"/>
        <v>0</v>
      </c>
      <c r="O16" s="192" t="s">
        <v>362</v>
      </c>
    </row>
    <row r="17" spans="1:15" ht="18" customHeight="1" x14ac:dyDescent="0.3">
      <c r="A17" s="61" t="s">
        <v>366</v>
      </c>
      <c r="C17" s="189"/>
      <c r="D17" s="190"/>
      <c r="E17" s="189"/>
      <c r="F17" s="191"/>
      <c r="G17" s="189"/>
      <c r="H17" s="191"/>
      <c r="I17" s="190"/>
      <c r="J17" s="190"/>
      <c r="K17" s="190"/>
      <c r="L17" s="190"/>
      <c r="M17" s="189">
        <f t="shared" si="0"/>
        <v>0</v>
      </c>
      <c r="O17" s="192" t="s">
        <v>362</v>
      </c>
    </row>
    <row r="18" spans="1:15" ht="18" customHeight="1" x14ac:dyDescent="0.3">
      <c r="A18" s="61" t="s">
        <v>367</v>
      </c>
      <c r="C18" s="189"/>
      <c r="D18" s="190"/>
      <c r="E18" s="189"/>
      <c r="F18" s="191"/>
      <c r="G18" s="189"/>
      <c r="H18" s="191"/>
      <c r="I18" s="190"/>
      <c r="J18" s="190"/>
      <c r="K18" s="190"/>
      <c r="L18" s="190"/>
      <c r="M18" s="189">
        <f t="shared" si="0"/>
        <v>0</v>
      </c>
      <c r="O18" s="192" t="s">
        <v>362</v>
      </c>
    </row>
    <row r="19" spans="1:15" ht="18" customHeight="1" x14ac:dyDescent="0.3">
      <c r="A19" s="61" t="s">
        <v>368</v>
      </c>
      <c r="B19" s="88"/>
      <c r="C19" s="189"/>
      <c r="D19" s="190"/>
      <c r="E19" s="189"/>
      <c r="F19" s="191"/>
      <c r="G19" s="189"/>
      <c r="H19" s="191"/>
      <c r="I19" s="190"/>
      <c r="J19" s="190"/>
      <c r="K19" s="190"/>
      <c r="L19" s="190"/>
      <c r="M19" s="189">
        <f t="shared" si="0"/>
        <v>0</v>
      </c>
      <c r="O19" s="192" t="s">
        <v>362</v>
      </c>
    </row>
    <row r="20" spans="1:15" ht="18" customHeight="1" x14ac:dyDescent="0.3">
      <c r="A20" s="61" t="s">
        <v>369</v>
      </c>
      <c r="C20" s="190"/>
      <c r="D20" s="190"/>
      <c r="E20" s="190"/>
      <c r="F20" s="191"/>
      <c r="G20" s="190"/>
      <c r="H20" s="191"/>
      <c r="I20" s="190"/>
      <c r="J20" s="190"/>
      <c r="K20" s="190"/>
      <c r="L20" s="190"/>
      <c r="M20" s="190"/>
      <c r="O20" s="192"/>
    </row>
    <row r="21" spans="1:15" ht="18" customHeight="1" x14ac:dyDescent="0.3">
      <c r="A21" s="61" t="s">
        <v>370</v>
      </c>
      <c r="C21" s="189"/>
      <c r="D21" s="190"/>
      <c r="E21" s="189"/>
      <c r="F21" s="191"/>
      <c r="G21" s="189"/>
      <c r="H21" s="191"/>
      <c r="I21" s="190"/>
      <c r="J21" s="190"/>
      <c r="K21" s="190"/>
      <c r="L21" s="190"/>
      <c r="M21" s="189">
        <f t="shared" ref="M21:M37" si="1">+C21+E21-G21</f>
        <v>0</v>
      </c>
      <c r="N21" s="88"/>
      <c r="O21" s="192" t="s">
        <v>362</v>
      </c>
    </row>
    <row r="22" spans="1:15" ht="18" customHeight="1" x14ac:dyDescent="0.3">
      <c r="A22" s="61" t="s">
        <v>371</v>
      </c>
      <c r="C22" s="189"/>
      <c r="D22" s="190"/>
      <c r="E22" s="189"/>
      <c r="F22" s="191"/>
      <c r="G22" s="189"/>
      <c r="H22" s="191"/>
      <c r="I22" s="190"/>
      <c r="J22" s="190"/>
      <c r="K22" s="190"/>
      <c r="L22" s="190"/>
      <c r="M22" s="189">
        <f t="shared" si="1"/>
        <v>0</v>
      </c>
      <c r="O22" s="192" t="s">
        <v>362</v>
      </c>
    </row>
    <row r="23" spans="1:15" ht="18" customHeight="1" x14ac:dyDescent="0.3">
      <c r="A23" s="61" t="s">
        <v>372</v>
      </c>
      <c r="C23" s="189"/>
      <c r="D23" s="190"/>
      <c r="E23" s="189"/>
      <c r="F23" s="191"/>
      <c r="G23" s="189"/>
      <c r="H23" s="191"/>
      <c r="I23" s="190"/>
      <c r="J23" s="190"/>
      <c r="K23" s="190"/>
      <c r="L23" s="190"/>
      <c r="M23" s="189">
        <f t="shared" si="1"/>
        <v>0</v>
      </c>
      <c r="O23" s="192" t="s">
        <v>373</v>
      </c>
    </row>
    <row r="24" spans="1:15" ht="18" customHeight="1" x14ac:dyDescent="0.3">
      <c r="A24" s="61" t="s">
        <v>374</v>
      </c>
      <c r="C24" s="189"/>
      <c r="D24" s="190"/>
      <c r="E24" s="189"/>
      <c r="F24" s="191"/>
      <c r="G24" s="189"/>
      <c r="H24" s="191"/>
      <c r="I24" s="190"/>
      <c r="J24" s="190"/>
      <c r="K24" s="190"/>
      <c r="L24" s="190"/>
      <c r="M24" s="189">
        <f t="shared" si="1"/>
        <v>0</v>
      </c>
      <c r="O24" s="192" t="s">
        <v>375</v>
      </c>
    </row>
    <row r="25" spans="1:15" ht="18" customHeight="1" x14ac:dyDescent="0.3">
      <c r="A25" s="61" t="s">
        <v>376</v>
      </c>
      <c r="C25" s="189"/>
      <c r="D25" s="190"/>
      <c r="E25" s="189"/>
      <c r="F25" s="191"/>
      <c r="G25" s="189"/>
      <c r="H25" s="191"/>
      <c r="I25" s="190"/>
      <c r="J25" s="190"/>
      <c r="K25" s="190"/>
      <c r="L25" s="190"/>
      <c r="M25" s="189">
        <f t="shared" si="1"/>
        <v>0</v>
      </c>
      <c r="O25" s="192" t="s">
        <v>362</v>
      </c>
    </row>
    <row r="26" spans="1:15" ht="18" customHeight="1" x14ac:dyDescent="0.3">
      <c r="A26" s="61" t="s">
        <v>377</v>
      </c>
      <c r="C26" s="189"/>
      <c r="D26" s="190"/>
      <c r="E26" s="189"/>
      <c r="F26" s="191"/>
      <c r="G26" s="189"/>
      <c r="H26" s="191"/>
      <c r="I26" s="190"/>
      <c r="J26" s="190"/>
      <c r="K26" s="190"/>
      <c r="L26" s="190"/>
      <c r="M26" s="189">
        <f t="shared" si="1"/>
        <v>0</v>
      </c>
      <c r="O26" s="192" t="s">
        <v>362</v>
      </c>
    </row>
    <row r="27" spans="1:15" ht="18" customHeight="1" x14ac:dyDescent="0.3">
      <c r="A27" s="61" t="s">
        <v>378</v>
      </c>
      <c r="C27" s="189"/>
      <c r="D27" s="190"/>
      <c r="E27" s="189"/>
      <c r="F27" s="191"/>
      <c r="G27" s="189"/>
      <c r="H27" s="191"/>
      <c r="I27" s="190"/>
      <c r="J27" s="190"/>
      <c r="K27" s="190"/>
      <c r="L27" s="190"/>
      <c r="M27" s="189">
        <f t="shared" si="1"/>
        <v>0</v>
      </c>
      <c r="O27" s="192" t="s">
        <v>362</v>
      </c>
    </row>
    <row r="28" spans="1:15" ht="18" customHeight="1" x14ac:dyDescent="0.3">
      <c r="A28" s="61" t="s">
        <v>379</v>
      </c>
      <c r="C28" s="189"/>
      <c r="D28" s="190"/>
      <c r="E28" s="189"/>
      <c r="F28" s="191"/>
      <c r="G28" s="189"/>
      <c r="H28" s="191"/>
      <c r="I28" s="190"/>
      <c r="J28" s="190"/>
      <c r="K28" s="190"/>
      <c r="L28" s="190"/>
      <c r="M28" s="189">
        <f t="shared" si="1"/>
        <v>0</v>
      </c>
      <c r="O28" s="192" t="s">
        <v>173</v>
      </c>
    </row>
    <row r="29" spans="1:15" ht="18" customHeight="1" x14ac:dyDescent="0.3">
      <c r="A29" s="61" t="s">
        <v>380</v>
      </c>
      <c r="C29" s="189"/>
      <c r="D29" s="190"/>
      <c r="E29" s="189"/>
      <c r="F29" s="191"/>
      <c r="G29" s="189"/>
      <c r="H29" s="191"/>
      <c r="I29" s="190"/>
      <c r="J29" s="190"/>
      <c r="K29" s="190"/>
      <c r="L29" s="190"/>
      <c r="M29" s="189">
        <f t="shared" si="1"/>
        <v>0</v>
      </c>
      <c r="O29" s="192" t="s">
        <v>173</v>
      </c>
    </row>
    <row r="30" spans="1:15" ht="18" customHeight="1" x14ac:dyDescent="0.3">
      <c r="A30" s="61" t="s">
        <v>381</v>
      </c>
      <c r="C30" s="189"/>
      <c r="D30" s="190"/>
      <c r="E30" s="189"/>
      <c r="F30" s="191"/>
      <c r="G30" s="189"/>
      <c r="H30" s="191"/>
      <c r="I30" s="190"/>
      <c r="J30" s="190"/>
      <c r="K30" s="190"/>
      <c r="L30" s="190"/>
      <c r="M30" s="189">
        <f t="shared" si="1"/>
        <v>0</v>
      </c>
      <c r="O30" s="192" t="s">
        <v>382</v>
      </c>
    </row>
    <row r="31" spans="1:15" ht="18" customHeight="1" x14ac:dyDescent="0.3">
      <c r="A31" s="61" t="s">
        <v>383</v>
      </c>
      <c r="C31" s="189"/>
      <c r="D31" s="190"/>
      <c r="E31" s="189"/>
      <c r="F31" s="191"/>
      <c r="G31" s="189"/>
      <c r="H31" s="191"/>
      <c r="I31" s="190"/>
      <c r="J31" s="190"/>
      <c r="K31" s="190"/>
      <c r="L31" s="190"/>
      <c r="M31" s="189">
        <f t="shared" si="1"/>
        <v>0</v>
      </c>
      <c r="O31" s="192" t="s">
        <v>382</v>
      </c>
    </row>
    <row r="32" spans="1:15" ht="18" customHeight="1" x14ac:dyDescent="0.3">
      <c r="A32" s="61" t="s">
        <v>384</v>
      </c>
      <c r="C32" s="189"/>
      <c r="D32" s="190"/>
      <c r="E32" s="189"/>
      <c r="F32" s="191"/>
      <c r="G32" s="189"/>
      <c r="H32" s="191"/>
      <c r="I32" s="190"/>
      <c r="J32" s="190"/>
      <c r="K32" s="190"/>
      <c r="L32" s="190"/>
      <c r="M32" s="189">
        <f t="shared" si="1"/>
        <v>0</v>
      </c>
      <c r="O32" s="192" t="s">
        <v>382</v>
      </c>
    </row>
    <row r="33" spans="1:15" ht="18" customHeight="1" x14ac:dyDescent="0.3">
      <c r="A33" s="61" t="s">
        <v>385</v>
      </c>
      <c r="C33" s="189"/>
      <c r="D33" s="190"/>
      <c r="E33" s="189"/>
      <c r="F33" s="191"/>
      <c r="G33" s="189"/>
      <c r="H33" s="191"/>
      <c r="I33" s="190"/>
      <c r="J33" s="190"/>
      <c r="K33" s="190"/>
      <c r="L33" s="190"/>
      <c r="M33" s="189">
        <f t="shared" si="1"/>
        <v>0</v>
      </c>
      <c r="O33" s="192" t="s">
        <v>375</v>
      </c>
    </row>
    <row r="34" spans="1:15" ht="18" customHeight="1" x14ac:dyDescent="0.3">
      <c r="A34" s="58" t="s">
        <v>386</v>
      </c>
      <c r="C34" s="193"/>
      <c r="D34" s="190"/>
      <c r="E34" s="212">
        <f>Reconciliations!C5</f>
        <v>3922.9536072999999</v>
      </c>
      <c r="F34" s="191" t="s">
        <v>127</v>
      </c>
      <c r="G34" s="189"/>
      <c r="H34" s="191"/>
      <c r="I34" s="190"/>
      <c r="J34" s="190"/>
      <c r="K34" s="190"/>
      <c r="L34" s="190"/>
      <c r="M34" s="193">
        <f>+C34+E34+E35-G34-G35</f>
        <v>3814.1886510000004</v>
      </c>
      <c r="O34" s="203" t="s">
        <v>75</v>
      </c>
    </row>
    <row r="35" spans="1:15" ht="18" customHeight="1" x14ac:dyDescent="0.3">
      <c r="C35" s="190"/>
      <c r="D35" s="190"/>
      <c r="E35" s="212">
        <f>Reconciliations!C16</f>
        <v>0</v>
      </c>
      <c r="F35" s="191" t="s">
        <v>135</v>
      </c>
      <c r="G35" s="212">
        <f>Reconciliations!D16</f>
        <v>108.76495629999954</v>
      </c>
      <c r="H35" s="191" t="s">
        <v>135</v>
      </c>
      <c r="I35" s="190"/>
      <c r="J35" s="190"/>
      <c r="K35" s="190"/>
      <c r="L35" s="190"/>
      <c r="M35" s="190"/>
      <c r="O35" s="192"/>
    </row>
    <row r="36" spans="1:15" ht="18" customHeight="1" x14ac:dyDescent="0.3">
      <c r="A36" s="61" t="s">
        <v>387</v>
      </c>
      <c r="C36" s="189"/>
      <c r="D36" s="190"/>
      <c r="E36" s="189"/>
      <c r="F36" s="191"/>
      <c r="G36" s="189"/>
      <c r="H36" s="191"/>
      <c r="I36" s="190"/>
      <c r="J36" s="190"/>
      <c r="K36" s="190"/>
      <c r="L36" s="190"/>
      <c r="M36" s="189">
        <f t="shared" si="1"/>
        <v>0</v>
      </c>
      <c r="O36" s="192" t="s">
        <v>388</v>
      </c>
    </row>
    <row r="37" spans="1:15" ht="18" customHeight="1" x14ac:dyDescent="0.3">
      <c r="A37" s="61" t="s">
        <v>389</v>
      </c>
      <c r="C37" s="189"/>
      <c r="D37" s="190"/>
      <c r="E37" s="189"/>
      <c r="F37" s="191"/>
      <c r="G37" s="189"/>
      <c r="H37" s="191"/>
      <c r="I37" s="190"/>
      <c r="J37" s="190"/>
      <c r="K37" s="190"/>
      <c r="L37" s="190"/>
      <c r="M37" s="189">
        <f t="shared" si="1"/>
        <v>0</v>
      </c>
      <c r="O37" s="192" t="s">
        <v>390</v>
      </c>
    </row>
    <row r="38" spans="1:15" ht="18" customHeight="1" x14ac:dyDescent="0.3">
      <c r="C38" s="190"/>
      <c r="D38" s="190"/>
      <c r="E38" s="190"/>
      <c r="F38" s="191"/>
      <c r="G38" s="190"/>
      <c r="H38" s="191"/>
      <c r="I38" s="190"/>
      <c r="J38" s="190"/>
      <c r="K38" s="190"/>
      <c r="L38" s="190"/>
      <c r="M38" s="190"/>
      <c r="O38" s="192"/>
    </row>
    <row r="39" spans="1:15" ht="18" customHeight="1" x14ac:dyDescent="0.3">
      <c r="A39" s="61" t="s">
        <v>391</v>
      </c>
      <c r="C39" s="190"/>
      <c r="D39" s="190"/>
      <c r="E39" s="190"/>
      <c r="F39" s="191"/>
      <c r="G39" s="190"/>
      <c r="H39" s="191"/>
      <c r="I39" s="190"/>
      <c r="J39" s="190"/>
      <c r="K39" s="190"/>
      <c r="L39" s="190"/>
      <c r="M39" s="190"/>
      <c r="O39" s="192"/>
    </row>
    <row r="40" spans="1:15" ht="18" customHeight="1" x14ac:dyDescent="0.3">
      <c r="A40" s="61" t="s">
        <v>392</v>
      </c>
      <c r="C40" s="189"/>
      <c r="D40" s="190"/>
      <c r="E40" s="189"/>
      <c r="F40" s="191"/>
      <c r="G40" s="189"/>
      <c r="H40" s="191"/>
      <c r="I40" s="190"/>
      <c r="J40" s="190"/>
      <c r="K40" s="190"/>
      <c r="L40" s="190"/>
      <c r="M40" s="189">
        <f>+C40+E40-G40</f>
        <v>0</v>
      </c>
      <c r="O40" s="192" t="s">
        <v>174</v>
      </c>
    </row>
    <row r="41" spans="1:15" ht="18" customHeight="1" x14ac:dyDescent="0.3">
      <c r="A41" s="82" t="s">
        <v>175</v>
      </c>
      <c r="C41" s="193"/>
      <c r="D41" s="190"/>
      <c r="E41" s="189"/>
      <c r="F41" s="191"/>
      <c r="G41" s="189"/>
      <c r="H41" s="191"/>
      <c r="I41" s="190"/>
      <c r="J41" s="190"/>
      <c r="K41" s="190"/>
      <c r="L41" s="190"/>
      <c r="M41" s="193">
        <f>+C41+E41+E42+E43-G41-G42-G43</f>
        <v>0</v>
      </c>
      <c r="O41" s="192"/>
    </row>
    <row r="42" spans="1:15" ht="18" customHeight="1" x14ac:dyDescent="0.3">
      <c r="C42" s="190"/>
      <c r="D42" s="190"/>
      <c r="E42" s="189"/>
      <c r="F42" s="191"/>
      <c r="G42" s="189"/>
      <c r="H42" s="191"/>
      <c r="I42" s="190"/>
      <c r="J42" s="190"/>
      <c r="K42" s="190"/>
      <c r="L42" s="190"/>
      <c r="M42" s="190"/>
      <c r="O42" s="192"/>
    </row>
    <row r="43" spans="1:15" ht="18" customHeight="1" x14ac:dyDescent="0.3">
      <c r="C43" s="190"/>
      <c r="D43" s="190"/>
      <c r="E43" s="190"/>
      <c r="F43" s="191"/>
      <c r="G43" s="190"/>
      <c r="H43" s="191"/>
      <c r="I43" s="190"/>
      <c r="J43" s="190"/>
      <c r="K43" s="190"/>
      <c r="L43" s="190"/>
      <c r="O43" s="192" t="s">
        <v>393</v>
      </c>
    </row>
    <row r="44" spans="1:15" ht="18" customHeight="1" x14ac:dyDescent="0.3">
      <c r="A44" s="82" t="s">
        <v>176</v>
      </c>
      <c r="C44" s="194">
        <f>SUM(C10:C43)</f>
        <v>0</v>
      </c>
      <c r="D44" s="190"/>
      <c r="E44" s="194">
        <f>SUM(E10:E43)</f>
        <v>3922.9536072999999</v>
      </c>
      <c r="F44" s="191"/>
      <c r="G44" s="194">
        <f>SUM(G10:G43)</f>
        <v>108.76495629999954</v>
      </c>
      <c r="H44" s="191"/>
      <c r="I44" s="190"/>
      <c r="J44" s="190"/>
      <c r="K44" s="190"/>
      <c r="L44" s="190"/>
      <c r="M44" s="194">
        <f>SUM(M10:M42)</f>
        <v>3814.1886510000004</v>
      </c>
      <c r="N44" s="88"/>
      <c r="O44" s="192" t="s">
        <v>176</v>
      </c>
    </row>
    <row r="45" spans="1:15" ht="18" customHeight="1" x14ac:dyDescent="0.3">
      <c r="A45" s="82"/>
      <c r="C45" s="190"/>
      <c r="D45" s="190"/>
      <c r="E45" s="190"/>
      <c r="F45" s="191"/>
      <c r="G45" s="190"/>
      <c r="H45" s="191"/>
      <c r="I45" s="190"/>
      <c r="J45" s="190"/>
      <c r="K45" s="190"/>
      <c r="L45" s="190"/>
      <c r="M45" s="190"/>
      <c r="N45" s="88"/>
      <c r="O45" s="192"/>
    </row>
    <row r="46" spans="1:15" ht="18" customHeight="1" x14ac:dyDescent="0.3">
      <c r="A46" s="82" t="s">
        <v>177</v>
      </c>
      <c r="C46" s="190"/>
      <c r="D46" s="190"/>
      <c r="E46" s="190"/>
      <c r="F46" s="191"/>
      <c r="G46" s="190"/>
      <c r="H46" s="191"/>
      <c r="I46" s="190"/>
      <c r="J46" s="190"/>
      <c r="K46" s="190"/>
      <c r="L46" s="190"/>
      <c r="M46" s="190"/>
      <c r="N46" s="88"/>
      <c r="O46" s="192"/>
    </row>
    <row r="47" spans="1:15" ht="18" customHeight="1" x14ac:dyDescent="0.3">
      <c r="A47" s="90" t="s">
        <v>394</v>
      </c>
      <c r="C47" s="189"/>
      <c r="D47" s="190"/>
      <c r="E47" s="212">
        <f>Reconciliations!C6</f>
        <v>355491.86516689998</v>
      </c>
      <c r="F47" s="191" t="s">
        <v>127</v>
      </c>
      <c r="G47" s="189"/>
      <c r="H47" s="191"/>
      <c r="I47" s="190"/>
      <c r="J47" s="190"/>
      <c r="K47" s="190"/>
      <c r="L47" s="190"/>
      <c r="M47" s="189">
        <f>+C47+E47+E48+E49-G47-G48-G49</f>
        <v>300023.85541261971</v>
      </c>
      <c r="N47" s="88"/>
      <c r="O47" s="202" t="s">
        <v>129</v>
      </c>
    </row>
    <row r="48" spans="1:15" ht="18" customHeight="1" x14ac:dyDescent="0.3">
      <c r="A48" s="82"/>
      <c r="C48" s="190"/>
      <c r="D48" s="190"/>
      <c r="E48" s="212">
        <f>Reconciliations!C17</f>
        <v>3268.4117895597519</v>
      </c>
      <c r="F48" s="191" t="s">
        <v>135</v>
      </c>
      <c r="G48" s="212">
        <f>Reconciliations!D17</f>
        <v>60097.161543840019</v>
      </c>
      <c r="H48" s="191" t="s">
        <v>135</v>
      </c>
      <c r="I48" s="190"/>
      <c r="J48" s="190"/>
      <c r="K48" s="190"/>
      <c r="L48" s="190"/>
      <c r="M48" s="190"/>
      <c r="N48" s="88"/>
    </row>
    <row r="49" spans="1:15" ht="18" customHeight="1" x14ac:dyDescent="0.3">
      <c r="A49" s="82"/>
      <c r="C49" s="190"/>
      <c r="D49" s="190"/>
      <c r="E49" s="212">
        <f>Reconciliations!C49</f>
        <v>31599.719999999998</v>
      </c>
      <c r="F49" s="191" t="s">
        <v>142</v>
      </c>
      <c r="G49" s="212">
        <f>Reconciliations!D36</f>
        <v>30238.980000000003</v>
      </c>
      <c r="H49" s="191" t="s">
        <v>140</v>
      </c>
      <c r="I49" s="190"/>
      <c r="J49" s="190"/>
      <c r="K49" s="190"/>
      <c r="L49" s="190"/>
      <c r="M49" s="190"/>
      <c r="N49" s="88"/>
    </row>
    <row r="50" spans="1:15" ht="18" customHeight="1" x14ac:dyDescent="0.3">
      <c r="A50" s="82" t="s">
        <v>395</v>
      </c>
      <c r="C50" s="189"/>
      <c r="D50" s="190"/>
      <c r="E50" s="189"/>
      <c r="F50" s="191"/>
      <c r="G50" s="189"/>
      <c r="H50" s="191"/>
      <c r="I50" s="190"/>
      <c r="J50" s="190"/>
      <c r="K50" s="190"/>
      <c r="L50" s="190"/>
      <c r="M50" s="189">
        <f>+C50+E50-G50</f>
        <v>0</v>
      </c>
      <c r="N50" s="88"/>
      <c r="O50" s="185" t="s">
        <v>396</v>
      </c>
    </row>
    <row r="51" spans="1:15" ht="18" customHeight="1" x14ac:dyDescent="0.3">
      <c r="A51" s="82" t="s">
        <v>397</v>
      </c>
      <c r="C51" s="193"/>
      <c r="D51" s="190"/>
      <c r="E51" s="189"/>
      <c r="F51" s="191"/>
      <c r="G51" s="189"/>
      <c r="H51" s="191"/>
      <c r="I51" s="190"/>
      <c r="J51" s="190"/>
      <c r="K51" s="190"/>
      <c r="L51" s="190"/>
      <c r="M51" s="189">
        <f>+C51+E51-G51</f>
        <v>0</v>
      </c>
      <c r="N51" s="88"/>
      <c r="O51" s="185" t="s">
        <v>398</v>
      </c>
    </row>
    <row r="52" spans="1:15" ht="18" customHeight="1" x14ac:dyDescent="0.3">
      <c r="A52" s="82"/>
      <c r="C52" s="190"/>
      <c r="D52" s="190"/>
      <c r="E52" s="190"/>
      <c r="F52" s="191"/>
      <c r="G52" s="190"/>
      <c r="H52" s="191"/>
      <c r="I52" s="190"/>
      <c r="J52" s="190"/>
      <c r="K52" s="190"/>
      <c r="L52" s="190"/>
      <c r="M52" s="190"/>
      <c r="N52" s="88"/>
      <c r="O52" s="192"/>
    </row>
    <row r="53" spans="1:15" ht="18" customHeight="1" x14ac:dyDescent="0.3">
      <c r="A53" s="61" t="s">
        <v>178</v>
      </c>
      <c r="C53" s="194">
        <f>SUM(C47:C52)</f>
        <v>0</v>
      </c>
      <c r="D53" s="190"/>
      <c r="E53" s="194">
        <f>SUM(E47:E52)</f>
        <v>390359.99695645971</v>
      </c>
      <c r="F53" s="191"/>
      <c r="G53" s="194">
        <f>SUM(G47:G52)</f>
        <v>90336.141543840029</v>
      </c>
      <c r="H53" s="191"/>
      <c r="I53" s="190"/>
      <c r="J53" s="190"/>
      <c r="K53" s="190"/>
      <c r="L53" s="190"/>
      <c r="M53" s="194">
        <f>SUM(M47:M52)</f>
        <v>300023.85541261971</v>
      </c>
      <c r="N53" s="88"/>
      <c r="O53" s="185" t="s">
        <v>178</v>
      </c>
    </row>
    <row r="54" spans="1:15" ht="18" customHeight="1" x14ac:dyDescent="0.3">
      <c r="C54" s="190"/>
      <c r="D54" s="190"/>
      <c r="E54" s="190"/>
      <c r="F54" s="191"/>
      <c r="G54" s="190"/>
      <c r="H54" s="191"/>
      <c r="I54" s="190"/>
      <c r="J54" s="190"/>
      <c r="K54" s="190"/>
      <c r="L54" s="190"/>
      <c r="M54" s="190"/>
      <c r="N54" s="88"/>
      <c r="O54" s="192"/>
    </row>
    <row r="55" spans="1:15" ht="18" customHeight="1" x14ac:dyDescent="0.3">
      <c r="A55" s="61" t="s">
        <v>399</v>
      </c>
      <c r="C55" s="190"/>
      <c r="D55" s="190"/>
      <c r="E55" s="190"/>
      <c r="F55" s="191"/>
      <c r="G55" s="190"/>
      <c r="H55" s="191"/>
      <c r="I55" s="190"/>
      <c r="J55" s="190"/>
      <c r="K55" s="190"/>
      <c r="L55" s="190"/>
      <c r="M55" s="190"/>
      <c r="N55" s="88"/>
      <c r="O55" s="192"/>
    </row>
    <row r="56" spans="1:15" ht="18" customHeight="1" thickBot="1" x14ac:dyDescent="0.35">
      <c r="A56" s="61" t="s">
        <v>179</v>
      </c>
      <c r="C56" s="195">
        <f>C44+C53</f>
        <v>0</v>
      </c>
      <c r="D56" s="190"/>
      <c r="E56" s="195">
        <f>E44+E53</f>
        <v>394282.95056375972</v>
      </c>
      <c r="F56" s="191"/>
      <c r="G56" s="195">
        <f>G44+G53</f>
        <v>90444.90650014003</v>
      </c>
      <c r="H56" s="191"/>
      <c r="I56" s="190"/>
      <c r="J56" s="190"/>
      <c r="K56" s="190"/>
      <c r="L56" s="190"/>
      <c r="M56" s="195">
        <f>M44+M53</f>
        <v>303838.04406361969</v>
      </c>
      <c r="O56" s="192"/>
    </row>
    <row r="57" spans="1:15" ht="18" customHeight="1" thickTop="1" x14ac:dyDescent="0.3">
      <c r="C57" s="190"/>
      <c r="D57" s="190"/>
      <c r="E57" s="190"/>
      <c r="F57" s="191"/>
      <c r="G57" s="190"/>
      <c r="H57" s="191"/>
      <c r="I57" s="190"/>
      <c r="J57" s="190"/>
      <c r="K57" s="190"/>
      <c r="L57" s="190"/>
      <c r="M57" s="190"/>
      <c r="O57" s="192"/>
    </row>
    <row r="58" spans="1:15" ht="18" customHeight="1" x14ac:dyDescent="0.3">
      <c r="A58" s="196" t="s">
        <v>400</v>
      </c>
      <c r="C58" s="190"/>
      <c r="D58" s="190"/>
      <c r="E58" s="190"/>
      <c r="F58" s="191"/>
      <c r="G58" s="190"/>
      <c r="H58" s="191"/>
      <c r="I58" s="190"/>
      <c r="J58" s="190"/>
      <c r="K58" s="190"/>
      <c r="L58" s="190"/>
      <c r="M58" s="190"/>
      <c r="N58" s="88"/>
      <c r="O58" s="192"/>
    </row>
    <row r="59" spans="1:15" ht="18" customHeight="1" x14ac:dyDescent="0.3">
      <c r="A59" s="196" t="s">
        <v>180</v>
      </c>
      <c r="C59" s="190"/>
      <c r="D59" s="190"/>
      <c r="E59" s="190"/>
      <c r="F59" s="191"/>
      <c r="G59" s="190"/>
      <c r="H59" s="191"/>
      <c r="I59" s="190"/>
      <c r="J59" s="190"/>
      <c r="K59" s="190"/>
      <c r="L59" s="190"/>
      <c r="M59" s="190"/>
      <c r="N59" s="88"/>
      <c r="O59" s="192"/>
    </row>
    <row r="60" spans="1:15" ht="20.100000000000001" customHeight="1" x14ac:dyDescent="0.3">
      <c r="A60" s="82" t="s">
        <v>181</v>
      </c>
      <c r="C60" s="191"/>
      <c r="D60" s="191"/>
      <c r="E60" s="191"/>
      <c r="F60" s="191"/>
      <c r="G60" s="191"/>
      <c r="H60" s="191"/>
      <c r="I60" s="191"/>
      <c r="J60" s="191"/>
      <c r="K60" s="191"/>
      <c r="L60" s="191"/>
      <c r="M60" s="191"/>
      <c r="N60" s="88"/>
      <c r="O60" s="192"/>
    </row>
    <row r="61" spans="1:15" ht="20.100000000000001" customHeight="1" x14ac:dyDescent="0.3">
      <c r="A61" s="61" t="s">
        <v>401</v>
      </c>
      <c r="C61" s="189"/>
      <c r="D61" s="190"/>
      <c r="E61" s="189"/>
      <c r="F61" s="191"/>
      <c r="G61" s="189"/>
      <c r="H61" s="191"/>
      <c r="I61" s="190"/>
      <c r="J61" s="190"/>
      <c r="K61" s="190"/>
      <c r="L61" s="190"/>
      <c r="M61" s="189">
        <f>+C61-E61+G61</f>
        <v>0</v>
      </c>
      <c r="O61" s="192" t="s">
        <v>402</v>
      </c>
    </row>
    <row r="62" spans="1:15" ht="20.100000000000001" customHeight="1" x14ac:dyDescent="0.3">
      <c r="A62" s="61" t="s">
        <v>403</v>
      </c>
      <c r="C62" s="189"/>
      <c r="D62" s="190"/>
      <c r="E62" s="189"/>
      <c r="F62" s="191"/>
      <c r="G62" s="189"/>
      <c r="H62" s="191"/>
      <c r="I62" s="190"/>
      <c r="J62" s="190"/>
      <c r="K62" s="190"/>
      <c r="L62" s="190"/>
      <c r="M62" s="189">
        <f t="shared" ref="M62:M85" si="2">+C62-E62+G62</f>
        <v>0</v>
      </c>
      <c r="O62" s="192" t="s">
        <v>402</v>
      </c>
    </row>
    <row r="63" spans="1:15" ht="20.100000000000001" customHeight="1" x14ac:dyDescent="0.3">
      <c r="A63" s="61" t="s">
        <v>404</v>
      </c>
      <c r="C63" s="189"/>
      <c r="D63" s="190"/>
      <c r="E63" s="189"/>
      <c r="F63" s="191"/>
      <c r="G63" s="189"/>
      <c r="H63" s="191"/>
      <c r="I63" s="190"/>
      <c r="J63" s="190"/>
      <c r="K63" s="190"/>
      <c r="L63" s="190"/>
      <c r="M63" s="189">
        <f t="shared" si="2"/>
        <v>0</v>
      </c>
      <c r="O63" s="192" t="s">
        <v>405</v>
      </c>
    </row>
    <row r="64" spans="1:15" ht="20.100000000000001" customHeight="1" x14ac:dyDescent="0.3">
      <c r="A64" s="61" t="s">
        <v>406</v>
      </c>
      <c r="C64" s="189"/>
      <c r="D64" s="190"/>
      <c r="E64" s="189"/>
      <c r="F64" s="191"/>
      <c r="G64" s="189"/>
      <c r="H64" s="191"/>
      <c r="I64" s="190"/>
      <c r="J64" s="190"/>
      <c r="K64" s="190"/>
      <c r="L64" s="190"/>
      <c r="M64" s="189">
        <f t="shared" si="2"/>
        <v>0</v>
      </c>
      <c r="O64" s="192" t="s">
        <v>405</v>
      </c>
    </row>
    <row r="65" spans="1:15" ht="20.100000000000001" customHeight="1" x14ac:dyDescent="0.3">
      <c r="A65" s="61" t="s">
        <v>407</v>
      </c>
      <c r="C65" s="189"/>
      <c r="D65" s="190"/>
      <c r="E65" s="189"/>
      <c r="F65" s="191"/>
      <c r="G65" s="189"/>
      <c r="H65" s="191"/>
      <c r="I65" s="190"/>
      <c r="J65" s="190"/>
      <c r="K65" s="190"/>
      <c r="L65" s="190"/>
      <c r="M65" s="189">
        <f t="shared" si="2"/>
        <v>0</v>
      </c>
      <c r="O65" s="192" t="s">
        <v>405</v>
      </c>
    </row>
    <row r="66" spans="1:15" ht="20.100000000000001" customHeight="1" x14ac:dyDescent="0.3">
      <c r="A66" s="61" t="s">
        <v>408</v>
      </c>
      <c r="C66" s="189"/>
      <c r="D66" s="190"/>
      <c r="E66" s="189"/>
      <c r="F66" s="191"/>
      <c r="G66" s="189"/>
      <c r="H66" s="191"/>
      <c r="I66" s="190"/>
      <c r="J66" s="190"/>
      <c r="K66" s="190"/>
      <c r="L66" s="190"/>
      <c r="M66" s="189">
        <f t="shared" si="2"/>
        <v>0</v>
      </c>
      <c r="O66" s="192" t="s">
        <v>405</v>
      </c>
    </row>
    <row r="67" spans="1:15" ht="20.100000000000001" customHeight="1" x14ac:dyDescent="0.3">
      <c r="A67" s="61" t="s">
        <v>409</v>
      </c>
      <c r="C67" s="189"/>
      <c r="D67" s="190"/>
      <c r="E67" s="189"/>
      <c r="F67" s="191"/>
      <c r="G67" s="189"/>
      <c r="H67" s="191"/>
      <c r="I67" s="190"/>
      <c r="J67" s="190"/>
      <c r="K67" s="190"/>
      <c r="L67" s="190"/>
      <c r="M67" s="189">
        <f t="shared" si="2"/>
        <v>0</v>
      </c>
      <c r="O67" s="192" t="s">
        <v>405</v>
      </c>
    </row>
    <row r="68" spans="1:15" ht="20.100000000000001" customHeight="1" x14ac:dyDescent="0.3">
      <c r="A68" s="61" t="s">
        <v>410</v>
      </c>
      <c r="C68" s="189"/>
      <c r="D68" s="190"/>
      <c r="E68" s="189"/>
      <c r="F68" s="191"/>
      <c r="G68" s="189"/>
      <c r="H68" s="191"/>
      <c r="I68" s="190"/>
      <c r="J68" s="190"/>
      <c r="K68" s="190"/>
      <c r="L68" s="190"/>
      <c r="M68" s="189">
        <f t="shared" si="2"/>
        <v>0</v>
      </c>
      <c r="O68" s="192" t="s">
        <v>375</v>
      </c>
    </row>
    <row r="69" spans="1:15" ht="20.100000000000001" customHeight="1" x14ac:dyDescent="0.3">
      <c r="A69" s="61" t="s">
        <v>411</v>
      </c>
      <c r="C69" s="189"/>
      <c r="D69" s="190"/>
      <c r="E69" s="189"/>
      <c r="F69" s="191"/>
      <c r="G69" s="189"/>
      <c r="H69" s="191"/>
      <c r="I69" s="190"/>
      <c r="J69" s="190"/>
      <c r="K69" s="190"/>
      <c r="L69" s="190"/>
      <c r="M69" s="189">
        <f t="shared" si="2"/>
        <v>0</v>
      </c>
      <c r="O69" s="192" t="s">
        <v>405</v>
      </c>
    </row>
    <row r="70" spans="1:15" ht="20.100000000000001" customHeight="1" x14ac:dyDescent="0.3">
      <c r="A70" s="61" t="s">
        <v>412</v>
      </c>
      <c r="C70" s="189"/>
      <c r="D70" s="190"/>
      <c r="E70" s="189"/>
      <c r="F70" s="191"/>
      <c r="G70" s="189"/>
      <c r="H70" s="191"/>
      <c r="I70" s="190"/>
      <c r="J70" s="190"/>
      <c r="K70" s="190"/>
      <c r="L70" s="190"/>
      <c r="M70" s="189">
        <f t="shared" si="2"/>
        <v>0</v>
      </c>
      <c r="O70" s="192" t="s">
        <v>405</v>
      </c>
    </row>
    <row r="71" spans="1:15" ht="20.100000000000001" customHeight="1" x14ac:dyDescent="0.3">
      <c r="A71" s="61" t="s">
        <v>413</v>
      </c>
      <c r="C71" s="189"/>
      <c r="D71" s="190"/>
      <c r="E71" s="189"/>
      <c r="F71" s="191"/>
      <c r="G71" s="189"/>
      <c r="H71" s="191"/>
      <c r="I71" s="190"/>
      <c r="J71" s="190"/>
      <c r="K71" s="190"/>
      <c r="L71" s="190"/>
      <c r="M71" s="189">
        <f t="shared" si="2"/>
        <v>0</v>
      </c>
      <c r="O71" s="192" t="s">
        <v>405</v>
      </c>
    </row>
    <row r="72" spans="1:15" ht="20.100000000000001" customHeight="1" x14ac:dyDescent="0.3">
      <c r="A72" s="61" t="s">
        <v>414</v>
      </c>
      <c r="C72" s="189"/>
      <c r="D72" s="190"/>
      <c r="E72" s="189"/>
      <c r="F72" s="191"/>
      <c r="G72" s="189"/>
      <c r="H72" s="191"/>
      <c r="I72" s="190"/>
      <c r="J72" s="190"/>
      <c r="K72" s="190"/>
      <c r="L72" s="190"/>
      <c r="M72" s="189">
        <f t="shared" si="2"/>
        <v>0</v>
      </c>
      <c r="O72" s="192" t="s">
        <v>405</v>
      </c>
    </row>
    <row r="73" spans="1:15" ht="20.100000000000001" customHeight="1" x14ac:dyDescent="0.3">
      <c r="A73" s="61" t="s">
        <v>415</v>
      </c>
      <c r="C73" s="189"/>
      <c r="D73" s="190"/>
      <c r="E73" s="189"/>
      <c r="F73" s="191"/>
      <c r="G73" s="189"/>
      <c r="H73" s="191"/>
      <c r="I73" s="190"/>
      <c r="J73" s="190"/>
      <c r="K73" s="190"/>
      <c r="L73" s="190"/>
      <c r="M73" s="189">
        <f t="shared" si="2"/>
        <v>0</v>
      </c>
      <c r="O73" s="192" t="s">
        <v>416</v>
      </c>
    </row>
    <row r="74" spans="1:15" ht="20.100000000000001" customHeight="1" x14ac:dyDescent="0.3">
      <c r="A74" s="61" t="s">
        <v>417</v>
      </c>
      <c r="C74" s="189"/>
      <c r="D74" s="190"/>
      <c r="E74" s="189"/>
      <c r="F74" s="191"/>
      <c r="G74" s="189"/>
      <c r="H74" s="191"/>
      <c r="I74" s="190"/>
      <c r="J74" s="190"/>
      <c r="K74" s="190"/>
      <c r="L74" s="190"/>
      <c r="M74" s="189">
        <f t="shared" si="2"/>
        <v>0</v>
      </c>
      <c r="O74" s="192" t="s">
        <v>405</v>
      </c>
    </row>
    <row r="75" spans="1:15" ht="20.100000000000001" customHeight="1" x14ac:dyDescent="0.3">
      <c r="A75" s="61" t="s">
        <v>418</v>
      </c>
      <c r="C75" s="189"/>
      <c r="D75" s="190"/>
      <c r="E75" s="189"/>
      <c r="F75" s="191"/>
      <c r="G75" s="189"/>
      <c r="H75" s="191"/>
      <c r="I75" s="190"/>
      <c r="J75" s="190"/>
      <c r="K75" s="190"/>
      <c r="L75" s="190"/>
      <c r="M75" s="189">
        <f t="shared" si="2"/>
        <v>0</v>
      </c>
      <c r="O75" s="192" t="s">
        <v>405</v>
      </c>
    </row>
    <row r="76" spans="1:15" ht="20.100000000000001" customHeight="1" x14ac:dyDescent="0.3">
      <c r="A76" s="61" t="s">
        <v>419</v>
      </c>
      <c r="C76" s="189"/>
      <c r="D76" s="190"/>
      <c r="E76" s="189"/>
      <c r="F76" s="191"/>
      <c r="G76" s="189"/>
      <c r="H76" s="191"/>
      <c r="I76" s="190"/>
      <c r="J76" s="190"/>
      <c r="K76" s="190"/>
      <c r="L76" s="190"/>
      <c r="M76" s="189">
        <f t="shared" si="2"/>
        <v>0</v>
      </c>
      <c r="O76" s="192" t="s">
        <v>405</v>
      </c>
    </row>
    <row r="77" spans="1:15" ht="20.100000000000001" customHeight="1" x14ac:dyDescent="0.3">
      <c r="A77" s="61" t="s">
        <v>420</v>
      </c>
      <c r="B77" s="88"/>
      <c r="C77" s="189"/>
      <c r="D77" s="190"/>
      <c r="E77" s="189"/>
      <c r="F77" s="191"/>
      <c r="G77" s="189"/>
      <c r="H77" s="191"/>
      <c r="I77" s="190"/>
      <c r="J77" s="190"/>
      <c r="K77" s="190"/>
      <c r="L77" s="190"/>
      <c r="M77" s="189">
        <f t="shared" si="2"/>
        <v>0</v>
      </c>
      <c r="N77" s="88"/>
      <c r="O77" s="192" t="s">
        <v>405</v>
      </c>
    </row>
    <row r="78" spans="1:15" ht="20.100000000000001" customHeight="1" x14ac:dyDescent="0.3">
      <c r="A78" s="61" t="s">
        <v>421</v>
      </c>
      <c r="C78" s="189"/>
      <c r="D78" s="190"/>
      <c r="E78" s="189"/>
      <c r="F78" s="191"/>
      <c r="G78" s="189"/>
      <c r="H78" s="191"/>
      <c r="I78" s="190"/>
      <c r="J78" s="190"/>
      <c r="K78" s="190"/>
      <c r="L78" s="190"/>
      <c r="M78" s="189">
        <f t="shared" si="2"/>
        <v>0</v>
      </c>
      <c r="O78" s="192" t="s">
        <v>405</v>
      </c>
    </row>
    <row r="79" spans="1:15" ht="20.100000000000001" customHeight="1" x14ac:dyDescent="0.3">
      <c r="A79" s="61" t="s">
        <v>422</v>
      </c>
      <c r="C79" s="189"/>
      <c r="D79" s="190"/>
      <c r="E79" s="189"/>
      <c r="F79" s="191"/>
      <c r="G79" s="189"/>
      <c r="H79" s="191"/>
      <c r="I79" s="190"/>
      <c r="J79" s="190"/>
      <c r="K79" s="190"/>
      <c r="L79" s="190"/>
      <c r="M79" s="189">
        <f t="shared" si="2"/>
        <v>0</v>
      </c>
      <c r="O79" s="192" t="s">
        <v>405</v>
      </c>
    </row>
    <row r="80" spans="1:15" ht="20.100000000000001" customHeight="1" x14ac:dyDescent="0.3">
      <c r="A80" s="82" t="s">
        <v>423</v>
      </c>
      <c r="C80" s="189"/>
      <c r="D80" s="190"/>
      <c r="E80" s="189"/>
      <c r="F80" s="191"/>
      <c r="G80" s="189"/>
      <c r="H80" s="191"/>
      <c r="I80" s="190"/>
      <c r="J80" s="190"/>
      <c r="K80" s="190"/>
      <c r="L80" s="190"/>
      <c r="M80" s="189">
        <f t="shared" si="2"/>
        <v>0</v>
      </c>
      <c r="O80" s="192" t="s">
        <v>405</v>
      </c>
    </row>
    <row r="81" spans="1:15" ht="20.100000000000001" customHeight="1" x14ac:dyDescent="0.3">
      <c r="A81" s="61" t="s">
        <v>424</v>
      </c>
      <c r="C81" s="189"/>
      <c r="D81" s="190"/>
      <c r="E81" s="189"/>
      <c r="F81" s="191"/>
      <c r="G81" s="189"/>
      <c r="H81" s="191"/>
      <c r="I81" s="190"/>
      <c r="J81" s="190"/>
      <c r="K81" s="190"/>
      <c r="L81" s="190"/>
      <c r="M81" s="189">
        <f t="shared" si="2"/>
        <v>0</v>
      </c>
      <c r="O81" s="192" t="s">
        <v>405</v>
      </c>
    </row>
    <row r="82" spans="1:15" ht="20.100000000000001" customHeight="1" x14ac:dyDescent="0.3">
      <c r="A82" s="61" t="s">
        <v>425</v>
      </c>
      <c r="C82" s="189"/>
      <c r="D82" s="190"/>
      <c r="E82" s="189"/>
      <c r="F82" s="191"/>
      <c r="G82" s="189"/>
      <c r="H82" s="191"/>
      <c r="I82" s="190"/>
      <c r="J82" s="190"/>
      <c r="K82" s="190"/>
      <c r="L82" s="190"/>
      <c r="M82" s="189">
        <f t="shared" si="2"/>
        <v>0</v>
      </c>
      <c r="O82" s="192" t="s">
        <v>405</v>
      </c>
    </row>
    <row r="83" spans="1:15" ht="20.100000000000001" customHeight="1" x14ac:dyDescent="0.3">
      <c r="A83" s="61" t="s">
        <v>426</v>
      </c>
      <c r="C83" s="189"/>
      <c r="D83" s="190"/>
      <c r="E83" s="189"/>
      <c r="F83" s="191"/>
      <c r="G83" s="189"/>
      <c r="H83" s="191"/>
      <c r="I83" s="190"/>
      <c r="J83" s="190"/>
      <c r="K83" s="190"/>
      <c r="L83" s="190"/>
      <c r="M83" s="189">
        <f t="shared" si="2"/>
        <v>0</v>
      </c>
      <c r="O83" s="192" t="s">
        <v>405</v>
      </c>
    </row>
    <row r="84" spans="1:15" ht="20.100000000000001" customHeight="1" x14ac:dyDescent="0.3">
      <c r="A84" s="61" t="s">
        <v>427</v>
      </c>
      <c r="C84" s="189"/>
      <c r="D84" s="190"/>
      <c r="E84" s="189"/>
      <c r="F84" s="191"/>
      <c r="G84" s="189"/>
      <c r="H84" s="191"/>
      <c r="I84" s="190"/>
      <c r="J84" s="190"/>
      <c r="K84" s="190"/>
      <c r="L84" s="190"/>
      <c r="M84" s="189">
        <f>+C84-E84+G84</f>
        <v>0</v>
      </c>
      <c r="O84" s="197" t="s">
        <v>416</v>
      </c>
    </row>
    <row r="85" spans="1:15" ht="20.100000000000001" customHeight="1" x14ac:dyDescent="0.3">
      <c r="A85" s="61" t="s">
        <v>428</v>
      </c>
      <c r="C85" s="189"/>
      <c r="D85" s="190"/>
      <c r="E85" s="189"/>
      <c r="F85" s="191"/>
      <c r="G85" s="189"/>
      <c r="H85" s="191"/>
      <c r="I85" s="190"/>
      <c r="J85" s="190"/>
      <c r="K85" s="190"/>
      <c r="L85" s="190"/>
      <c r="M85" s="189">
        <f t="shared" si="2"/>
        <v>0</v>
      </c>
      <c r="O85" s="192" t="s">
        <v>375</v>
      </c>
    </row>
    <row r="86" spans="1:15" ht="20.100000000000001" customHeight="1" x14ac:dyDescent="0.3">
      <c r="A86" s="61" t="s">
        <v>429</v>
      </c>
      <c r="C86" s="191"/>
      <c r="D86" s="191"/>
      <c r="E86" s="191"/>
      <c r="F86" s="191"/>
      <c r="G86" s="191"/>
      <c r="H86" s="191"/>
      <c r="I86" s="191"/>
      <c r="J86" s="191"/>
      <c r="K86" s="191"/>
      <c r="L86" s="191"/>
      <c r="M86" s="191"/>
      <c r="O86" s="192"/>
    </row>
    <row r="87" spans="1:15" ht="20.100000000000001" customHeight="1" x14ac:dyDescent="0.3">
      <c r="A87" s="61" t="s">
        <v>430</v>
      </c>
      <c r="C87" s="189"/>
      <c r="D87" s="190"/>
      <c r="E87" s="189"/>
      <c r="F87" s="191"/>
      <c r="G87" s="189"/>
      <c r="H87" s="191"/>
      <c r="I87" s="190"/>
      <c r="J87" s="190"/>
      <c r="K87" s="190"/>
      <c r="L87" s="190"/>
      <c r="M87" s="189">
        <f>+C87-E87-E88-E89+G87+G88+G89</f>
        <v>0</v>
      </c>
      <c r="N87" s="86"/>
      <c r="O87" s="197" t="s">
        <v>416</v>
      </c>
    </row>
    <row r="88" spans="1:15" ht="20.100000000000001" customHeight="1" x14ac:dyDescent="0.3">
      <c r="C88" s="190"/>
      <c r="D88" s="190"/>
      <c r="E88" s="189"/>
      <c r="F88" s="191"/>
      <c r="G88" s="189"/>
      <c r="H88" s="191"/>
      <c r="I88" s="190"/>
      <c r="J88" s="190"/>
      <c r="K88" s="190"/>
      <c r="L88" s="190"/>
      <c r="M88" s="190"/>
      <c r="N88" s="86"/>
      <c r="O88" s="197"/>
    </row>
    <row r="89" spans="1:15" ht="20.100000000000001" customHeight="1" x14ac:dyDescent="0.3">
      <c r="C89" s="190"/>
      <c r="D89" s="190"/>
      <c r="E89" s="189"/>
      <c r="F89" s="191"/>
      <c r="G89" s="189"/>
      <c r="H89" s="191"/>
      <c r="I89" s="190"/>
      <c r="J89" s="190"/>
      <c r="K89" s="190"/>
      <c r="L89" s="190"/>
      <c r="M89" s="190"/>
      <c r="N89" s="86"/>
      <c r="O89" s="197"/>
    </row>
    <row r="90" spans="1:15" ht="20.100000000000001" customHeight="1" x14ac:dyDescent="0.3">
      <c r="A90" s="58" t="s">
        <v>431</v>
      </c>
      <c r="C90" s="189"/>
      <c r="D90" s="190"/>
      <c r="E90" s="189"/>
      <c r="F90" s="191"/>
      <c r="G90" s="212">
        <f>Reconciliations!D7</f>
        <v>0</v>
      </c>
      <c r="H90" s="191" t="s">
        <v>127</v>
      </c>
      <c r="I90" s="190"/>
      <c r="J90" s="190"/>
      <c r="K90" s="190"/>
      <c r="L90" s="190"/>
      <c r="M90" s="189">
        <f>+C90-E90-E91-E92+G90+G91+G92</f>
        <v>0</v>
      </c>
      <c r="N90" s="86"/>
      <c r="O90" s="205" t="s">
        <v>432</v>
      </c>
    </row>
    <row r="91" spans="1:15" ht="20.100000000000001" customHeight="1" x14ac:dyDescent="0.3">
      <c r="C91" s="190"/>
      <c r="D91" s="190"/>
      <c r="E91" s="213">
        <f>Reconciliations!C18</f>
        <v>0</v>
      </c>
      <c r="F91" s="191" t="s">
        <v>135</v>
      </c>
      <c r="G91" s="213">
        <f>Reconciliations!D18</f>
        <v>0</v>
      </c>
      <c r="H91" s="191" t="s">
        <v>135</v>
      </c>
      <c r="I91" s="190"/>
      <c r="J91" s="190"/>
      <c r="K91" s="190"/>
      <c r="L91" s="190"/>
      <c r="M91" s="190"/>
      <c r="N91" s="86"/>
      <c r="O91" s="197"/>
    </row>
    <row r="92" spans="1:15" ht="20.100000000000001" customHeight="1" x14ac:dyDescent="0.3">
      <c r="C92" s="190"/>
      <c r="D92" s="190"/>
      <c r="E92" s="189"/>
      <c r="F92" s="191"/>
      <c r="G92" s="193"/>
      <c r="H92" s="191"/>
      <c r="I92" s="190"/>
      <c r="J92" s="190"/>
      <c r="K92" s="190"/>
      <c r="L92" s="190"/>
      <c r="M92" s="190"/>
      <c r="N92" s="86"/>
      <c r="O92" s="197"/>
    </row>
    <row r="93" spans="1:15" ht="20.100000000000001" customHeight="1" x14ac:dyDescent="0.3">
      <c r="C93" s="190"/>
      <c r="D93" s="190"/>
      <c r="E93" s="190"/>
      <c r="F93" s="191"/>
      <c r="G93" s="190"/>
      <c r="H93" s="191"/>
      <c r="I93" s="190"/>
      <c r="J93" s="190"/>
      <c r="K93" s="190"/>
      <c r="L93" s="190"/>
      <c r="M93" s="190"/>
      <c r="O93" s="192"/>
    </row>
    <row r="94" spans="1:15" ht="20.100000000000001" customHeight="1" x14ac:dyDescent="0.3">
      <c r="A94" s="61" t="s">
        <v>182</v>
      </c>
      <c r="C94" s="194">
        <f>+SUM(C61:C93)</f>
        <v>0</v>
      </c>
      <c r="D94" s="190"/>
      <c r="E94" s="194">
        <f>+SUM(E61:E93)</f>
        <v>0</v>
      </c>
      <c r="F94" s="191"/>
      <c r="G94" s="194">
        <f>+SUM(G61:G93)</f>
        <v>0</v>
      </c>
      <c r="H94" s="191"/>
      <c r="I94" s="190"/>
      <c r="J94" s="190"/>
      <c r="K94" s="190"/>
      <c r="L94" s="190"/>
      <c r="M94" s="194">
        <f>+SUM(M61:M93)</f>
        <v>0</v>
      </c>
      <c r="O94" s="61" t="s">
        <v>182</v>
      </c>
    </row>
    <row r="95" spans="1:15" ht="20.100000000000001" customHeight="1" x14ac:dyDescent="0.3">
      <c r="C95" s="190"/>
      <c r="D95" s="190"/>
      <c r="E95" s="190"/>
      <c r="F95" s="191"/>
      <c r="G95" s="190"/>
      <c r="H95" s="191"/>
      <c r="I95" s="190"/>
      <c r="J95" s="190"/>
      <c r="K95" s="190"/>
      <c r="L95" s="190"/>
      <c r="M95" s="190"/>
      <c r="O95" s="192"/>
    </row>
    <row r="96" spans="1:15" ht="20.100000000000001" customHeight="1" x14ac:dyDescent="0.3">
      <c r="A96" s="82" t="s">
        <v>183</v>
      </c>
      <c r="C96" s="190"/>
      <c r="D96" s="190"/>
      <c r="E96" s="190"/>
      <c r="F96" s="191"/>
      <c r="G96" s="190"/>
      <c r="H96" s="191"/>
      <c r="I96" s="190"/>
      <c r="J96" s="190"/>
      <c r="K96" s="190"/>
      <c r="L96" s="190"/>
      <c r="M96" s="190"/>
      <c r="O96" s="192"/>
    </row>
    <row r="97" spans="1:15" ht="20.100000000000001" customHeight="1" x14ac:dyDescent="0.3">
      <c r="A97" s="61" t="s">
        <v>433</v>
      </c>
      <c r="C97" s="189"/>
      <c r="D97" s="190"/>
      <c r="E97" s="189"/>
      <c r="F97" s="191"/>
      <c r="G97" s="189"/>
      <c r="H97" s="191"/>
      <c r="I97" s="190"/>
      <c r="J97" s="190"/>
      <c r="K97" s="190"/>
      <c r="L97" s="190"/>
      <c r="M97" s="189">
        <f>+C97-E97+G97</f>
        <v>0</v>
      </c>
      <c r="O97" s="185" t="s">
        <v>434</v>
      </c>
    </row>
    <row r="98" spans="1:15" ht="20.100000000000001" customHeight="1" x14ac:dyDescent="0.3">
      <c r="A98" s="61" t="s">
        <v>435</v>
      </c>
      <c r="C98" s="189"/>
      <c r="D98" s="190"/>
      <c r="E98" s="189"/>
      <c r="F98" s="191"/>
      <c r="G98" s="189"/>
      <c r="H98" s="191"/>
      <c r="I98" s="190"/>
      <c r="J98" s="190"/>
      <c r="K98" s="190"/>
      <c r="L98" s="190"/>
      <c r="M98" s="189">
        <f>+C98-E98+G98</f>
        <v>0</v>
      </c>
      <c r="O98" s="185" t="s">
        <v>436</v>
      </c>
    </row>
    <row r="99" spans="1:15" ht="20.100000000000001" customHeight="1" x14ac:dyDescent="0.3">
      <c r="A99" s="58" t="s">
        <v>437</v>
      </c>
      <c r="C99" s="193"/>
      <c r="D99" s="190"/>
      <c r="E99" s="212"/>
      <c r="F99" s="191"/>
      <c r="G99" s="212">
        <f>Reconciliations!D8</f>
        <v>233010.36430359998</v>
      </c>
      <c r="H99" s="191" t="s">
        <v>127</v>
      </c>
      <c r="I99" s="190"/>
      <c r="J99" s="190"/>
      <c r="K99" s="190"/>
      <c r="L99" s="190"/>
      <c r="M99" s="193">
        <f>+C99-E99-E100+G99+G100</f>
        <v>193356.10665186</v>
      </c>
      <c r="O99" s="202" t="s">
        <v>161</v>
      </c>
    </row>
    <row r="100" spans="1:15" ht="20.100000000000001" customHeight="1" x14ac:dyDescent="0.3">
      <c r="C100" s="190"/>
      <c r="D100" s="190"/>
      <c r="E100" s="212">
        <f>Reconciliations!C19</f>
        <v>37542.887651739991</v>
      </c>
      <c r="F100" s="191" t="s">
        <v>135</v>
      </c>
      <c r="G100" s="212">
        <f>Reconciliations!D19</f>
        <v>-2111.37</v>
      </c>
      <c r="H100" s="191" t="s">
        <v>135</v>
      </c>
      <c r="I100" s="190"/>
      <c r="J100" s="190"/>
      <c r="K100" s="190"/>
      <c r="L100" s="190"/>
      <c r="M100" s="190"/>
    </row>
    <row r="101" spans="1:15" ht="20.100000000000001" customHeight="1" x14ac:dyDescent="0.3">
      <c r="A101" s="61" t="s">
        <v>438</v>
      </c>
      <c r="C101" s="189"/>
      <c r="D101" s="190"/>
      <c r="E101" s="189"/>
      <c r="F101" s="191"/>
      <c r="G101" s="189"/>
      <c r="H101" s="191"/>
      <c r="I101" s="190"/>
      <c r="J101" s="190"/>
      <c r="K101" s="190"/>
      <c r="L101" s="190"/>
      <c r="M101" s="189">
        <f>+C101-E101+G101</f>
        <v>0</v>
      </c>
      <c r="O101" s="185" t="s">
        <v>184</v>
      </c>
    </row>
    <row r="102" spans="1:15" ht="20.100000000000001" customHeight="1" x14ac:dyDescent="0.3">
      <c r="C102" s="190"/>
      <c r="D102" s="190"/>
      <c r="E102" s="190"/>
      <c r="F102" s="191"/>
      <c r="G102" s="190"/>
      <c r="H102" s="191"/>
      <c r="I102" s="190"/>
      <c r="J102" s="190"/>
      <c r="K102" s="190"/>
      <c r="L102" s="190"/>
      <c r="M102" s="190"/>
      <c r="O102" s="192"/>
    </row>
    <row r="103" spans="1:15" ht="20.100000000000001" customHeight="1" x14ac:dyDescent="0.3">
      <c r="A103" s="61" t="s">
        <v>185</v>
      </c>
      <c r="C103" s="194">
        <f>SUM(C97:C102)</f>
        <v>0</v>
      </c>
      <c r="D103" s="190"/>
      <c r="E103" s="194">
        <f>SUM(E97:E102)</f>
        <v>37542.887651739991</v>
      </c>
      <c r="F103" s="191"/>
      <c r="G103" s="194">
        <f>SUM(G97:G102)</f>
        <v>230898.99430359999</v>
      </c>
      <c r="H103" s="191"/>
      <c r="I103" s="190"/>
      <c r="J103" s="190"/>
      <c r="K103" s="190"/>
      <c r="L103" s="190"/>
      <c r="M103" s="194">
        <f>SUM(M97:M102)</f>
        <v>193356.10665186</v>
      </c>
      <c r="O103" s="185" t="s">
        <v>185</v>
      </c>
    </row>
    <row r="104" spans="1:15" ht="20.100000000000001" customHeight="1" x14ac:dyDescent="0.3">
      <c r="C104" s="190"/>
      <c r="D104" s="190"/>
      <c r="E104" s="190"/>
      <c r="F104" s="191"/>
      <c r="G104" s="190"/>
      <c r="H104" s="191"/>
      <c r="I104" s="190"/>
      <c r="J104" s="190"/>
      <c r="K104" s="190"/>
      <c r="L104" s="190"/>
      <c r="M104" s="190"/>
      <c r="O104" s="192"/>
    </row>
    <row r="105" spans="1:15" ht="18" customHeight="1" x14ac:dyDescent="0.3">
      <c r="A105" s="61" t="s">
        <v>186</v>
      </c>
      <c r="C105" s="190"/>
      <c r="D105" s="190"/>
      <c r="E105" s="190"/>
      <c r="F105" s="191"/>
      <c r="G105" s="190"/>
      <c r="H105" s="191"/>
      <c r="I105" s="190"/>
      <c r="J105" s="190"/>
      <c r="K105" s="190"/>
      <c r="L105" s="190"/>
      <c r="M105" s="190"/>
      <c r="O105" s="192"/>
    </row>
    <row r="106" spans="1:15" ht="18" customHeight="1" x14ac:dyDescent="0.3">
      <c r="A106" s="61" t="s">
        <v>439</v>
      </c>
      <c r="C106" s="189"/>
      <c r="D106" s="190"/>
      <c r="E106" s="189"/>
      <c r="F106" s="191"/>
      <c r="G106" s="189"/>
      <c r="H106" s="191"/>
      <c r="I106" s="190"/>
      <c r="J106" s="190"/>
      <c r="K106" s="190"/>
      <c r="L106" s="190"/>
      <c r="M106" s="189">
        <f>+C106-E106+G106</f>
        <v>0</v>
      </c>
      <c r="O106" s="192"/>
    </row>
    <row r="107" spans="1:15" ht="18" customHeight="1" x14ac:dyDescent="0.3">
      <c r="A107" s="61" t="s">
        <v>440</v>
      </c>
      <c r="C107" s="189"/>
      <c r="D107" s="190"/>
      <c r="E107" s="189"/>
      <c r="F107" s="191"/>
      <c r="G107" s="189"/>
      <c r="H107" s="191"/>
      <c r="I107" s="190"/>
      <c r="J107" s="190"/>
      <c r="K107" s="190"/>
      <c r="L107" s="190"/>
      <c r="M107" s="189">
        <f>+C107-E107+G107</f>
        <v>0</v>
      </c>
      <c r="O107" s="192"/>
    </row>
    <row r="108" spans="1:15" ht="18" customHeight="1" x14ac:dyDescent="0.3">
      <c r="A108" s="61" t="s">
        <v>441</v>
      </c>
      <c r="C108" s="189"/>
      <c r="D108" s="190"/>
      <c r="E108" s="189"/>
      <c r="F108" s="191"/>
      <c r="G108" s="189"/>
      <c r="H108" s="191"/>
      <c r="I108" s="190"/>
      <c r="J108" s="190"/>
      <c r="K108" s="190"/>
      <c r="L108" s="190"/>
      <c r="M108" s="189">
        <f>+C108-E108+G108</f>
        <v>0</v>
      </c>
      <c r="N108" s="88"/>
      <c r="O108" s="192"/>
    </row>
    <row r="109" spans="1:15" ht="18" customHeight="1" x14ac:dyDescent="0.3">
      <c r="A109" s="61" t="s">
        <v>442</v>
      </c>
      <c r="C109" s="189"/>
      <c r="D109" s="190"/>
      <c r="E109" s="189"/>
      <c r="F109" s="191"/>
      <c r="G109" s="189"/>
      <c r="H109" s="191"/>
      <c r="I109" s="190"/>
      <c r="J109" s="190"/>
      <c r="K109" s="190"/>
      <c r="L109" s="190"/>
      <c r="M109" s="189">
        <f>+C109-E109+G109</f>
        <v>0</v>
      </c>
      <c r="O109" s="192"/>
    </row>
    <row r="110" spans="1:15" ht="18" customHeight="1" x14ac:dyDescent="0.3">
      <c r="A110" s="61" t="s">
        <v>443</v>
      </c>
      <c r="C110" s="189"/>
      <c r="D110" s="190"/>
      <c r="E110" s="189"/>
      <c r="F110" s="191"/>
      <c r="G110" s="189"/>
      <c r="H110" s="191"/>
      <c r="I110" s="190"/>
      <c r="J110" s="190"/>
      <c r="K110" s="190"/>
      <c r="L110" s="190"/>
      <c r="M110" s="189">
        <f>+C110-E110+G110</f>
        <v>0</v>
      </c>
      <c r="O110" s="192"/>
    </row>
    <row r="111" spans="1:15" ht="14.25" customHeight="1" x14ac:dyDescent="0.3">
      <c r="C111" s="190"/>
      <c r="D111" s="190"/>
      <c r="E111" s="190"/>
      <c r="F111" s="191"/>
      <c r="G111" s="190"/>
      <c r="H111" s="191"/>
      <c r="I111" s="190"/>
      <c r="J111" s="190"/>
      <c r="K111" s="190"/>
      <c r="L111" s="190"/>
      <c r="M111" s="190"/>
      <c r="N111" s="88"/>
      <c r="O111" s="192"/>
    </row>
    <row r="112" spans="1:15" ht="14.25" customHeight="1" x14ac:dyDescent="0.3">
      <c r="A112" s="92" t="s">
        <v>444</v>
      </c>
      <c r="C112" s="190"/>
      <c r="D112" s="190"/>
      <c r="E112" s="190"/>
      <c r="F112" s="191"/>
      <c r="G112" s="190"/>
      <c r="H112" s="191"/>
      <c r="I112" s="190"/>
      <c r="J112" s="190"/>
      <c r="K112" s="190"/>
      <c r="L112" s="190"/>
      <c r="M112" s="190"/>
      <c r="N112" s="88"/>
      <c r="O112" s="192"/>
    </row>
    <row r="113" spans="1:15" ht="14.25" customHeight="1" x14ac:dyDescent="0.3">
      <c r="A113" s="92" t="s">
        <v>445</v>
      </c>
      <c r="C113" s="189"/>
      <c r="D113" s="190"/>
      <c r="E113" s="189"/>
      <c r="F113" s="191"/>
      <c r="G113" s="189"/>
      <c r="H113" s="191"/>
      <c r="I113" s="190"/>
      <c r="J113" s="190"/>
      <c r="K113" s="190"/>
      <c r="L113" s="190"/>
      <c r="M113" s="189">
        <f>+C113-E113-E114-E115+G113+G114+G115</f>
        <v>0</v>
      </c>
      <c r="N113" s="88"/>
      <c r="O113" s="198" t="s">
        <v>187</v>
      </c>
    </row>
    <row r="114" spans="1:15" ht="14.25" customHeight="1" x14ac:dyDescent="0.3">
      <c r="C114" s="190"/>
      <c r="D114" s="190"/>
      <c r="E114" s="193"/>
      <c r="F114" s="191"/>
      <c r="G114" s="193"/>
      <c r="H114" s="191"/>
      <c r="I114" s="190"/>
      <c r="J114" s="190"/>
      <c r="K114" s="190"/>
      <c r="L114" s="190"/>
      <c r="M114" s="190"/>
      <c r="N114" s="88"/>
      <c r="O114" s="192"/>
    </row>
    <row r="115" spans="1:15" ht="14.25" customHeight="1" x14ac:dyDescent="0.3">
      <c r="C115" s="190"/>
      <c r="D115" s="190"/>
      <c r="E115" s="193"/>
      <c r="F115" s="191"/>
      <c r="G115" s="189"/>
      <c r="H115" s="191"/>
      <c r="I115" s="190"/>
      <c r="J115" s="190"/>
      <c r="K115" s="190"/>
      <c r="L115" s="190"/>
      <c r="M115" s="190"/>
      <c r="N115" s="88"/>
      <c r="O115" s="192"/>
    </row>
    <row r="116" spans="1:15" ht="14.25" customHeight="1" x14ac:dyDescent="0.3">
      <c r="A116" s="61" t="s">
        <v>446</v>
      </c>
      <c r="C116" s="190"/>
      <c r="D116" s="190"/>
      <c r="E116" s="190"/>
      <c r="F116" s="191"/>
      <c r="G116" s="190"/>
      <c r="H116" s="191"/>
      <c r="I116" s="190"/>
      <c r="J116" s="190"/>
      <c r="K116" s="190"/>
      <c r="L116" s="190"/>
      <c r="M116" s="190"/>
      <c r="N116" s="88"/>
      <c r="O116" s="192"/>
    </row>
    <row r="117" spans="1:15" ht="14.25" customHeight="1" x14ac:dyDescent="0.3">
      <c r="A117" s="61" t="s">
        <v>447</v>
      </c>
      <c r="C117" s="189"/>
      <c r="D117" s="190"/>
      <c r="E117" s="189"/>
      <c r="F117" s="191"/>
      <c r="G117" s="189"/>
      <c r="H117" s="191"/>
      <c r="I117" s="190"/>
      <c r="J117" s="190"/>
      <c r="K117" s="190"/>
      <c r="L117" s="190"/>
      <c r="M117" s="189">
        <f>+C117-E117+G117</f>
        <v>0</v>
      </c>
      <c r="N117" s="88"/>
      <c r="O117" s="198" t="s">
        <v>448</v>
      </c>
    </row>
    <row r="118" spans="1:15" ht="14.25" customHeight="1" x14ac:dyDescent="0.3">
      <c r="A118" s="61" t="s">
        <v>449</v>
      </c>
      <c r="C118" s="189"/>
      <c r="D118" s="190"/>
      <c r="E118" s="189"/>
      <c r="F118" s="191"/>
      <c r="G118" s="189"/>
      <c r="H118" s="191"/>
      <c r="I118" s="190"/>
      <c r="J118" s="190"/>
      <c r="K118" s="190"/>
      <c r="L118" s="190"/>
      <c r="M118" s="189">
        <f>+C118-E118+G118</f>
        <v>0</v>
      </c>
      <c r="N118" s="88"/>
      <c r="O118" s="198" t="s">
        <v>450</v>
      </c>
    </row>
    <row r="119" spans="1:15" ht="14.25" customHeight="1" x14ac:dyDescent="0.3">
      <c r="A119" s="61" t="s">
        <v>451</v>
      </c>
      <c r="C119" s="189"/>
      <c r="D119" s="190"/>
      <c r="E119" s="189"/>
      <c r="F119" s="191"/>
      <c r="G119" s="189"/>
      <c r="H119" s="191"/>
      <c r="I119" s="190"/>
      <c r="J119" s="190"/>
      <c r="K119" s="190"/>
      <c r="L119" s="190"/>
      <c r="M119" s="189">
        <f>+C119-E119+G119</f>
        <v>0</v>
      </c>
      <c r="N119" s="88"/>
      <c r="O119" s="198" t="s">
        <v>452</v>
      </c>
    </row>
    <row r="120" spans="1:15" ht="14.25" customHeight="1" x14ac:dyDescent="0.3">
      <c r="A120" s="58" t="s">
        <v>453</v>
      </c>
      <c r="C120" s="193"/>
      <c r="D120" s="190"/>
      <c r="E120" s="212">
        <f>Reconciliations!C11</f>
        <v>0</v>
      </c>
      <c r="F120" s="191" t="s">
        <v>127</v>
      </c>
      <c r="G120" s="212">
        <f>Reconciliations!D9</f>
        <v>126404.45447060005</v>
      </c>
      <c r="H120" s="191" t="s">
        <v>127</v>
      </c>
      <c r="I120" s="190"/>
      <c r="J120" s="190"/>
      <c r="K120" s="190"/>
      <c r="L120" s="190"/>
      <c r="M120" s="193">
        <f>+C120-E120-E121-E122+G120+G121+G122</f>
        <v>110481.93741175976</v>
      </c>
      <c r="N120" s="88"/>
      <c r="O120" s="204" t="s">
        <v>797</v>
      </c>
    </row>
    <row r="121" spans="1:15" ht="14.25" customHeight="1" x14ac:dyDescent="0.3">
      <c r="C121" s="190"/>
      <c r="D121" s="190"/>
      <c r="E121" s="212">
        <f>Reconciliations!C20</f>
        <v>17283.257058840285</v>
      </c>
      <c r="F121" s="191" t="s">
        <v>135</v>
      </c>
      <c r="G121" s="212">
        <f>Reconciliations!D20</f>
        <v>0</v>
      </c>
      <c r="H121" s="191" t="s">
        <v>135</v>
      </c>
      <c r="I121" s="190"/>
      <c r="J121" s="190"/>
      <c r="K121" s="190"/>
      <c r="L121" s="190"/>
      <c r="M121" s="190"/>
      <c r="N121" s="88"/>
      <c r="O121" s="198"/>
    </row>
    <row r="122" spans="1:15" ht="14.25" customHeight="1" x14ac:dyDescent="0.3">
      <c r="C122" s="190"/>
      <c r="D122" s="190"/>
      <c r="E122" s="212">
        <f>Reconciliations!C35</f>
        <v>30238.980000000003</v>
      </c>
      <c r="F122" s="191" t="s">
        <v>140</v>
      </c>
      <c r="G122" s="212">
        <f>Reconciliations!D50</f>
        <v>31599.719999999998</v>
      </c>
      <c r="H122" s="191" t="s">
        <v>142</v>
      </c>
      <c r="I122" s="190"/>
      <c r="J122" s="190"/>
      <c r="K122" s="190"/>
      <c r="L122" s="190"/>
      <c r="M122" s="190"/>
      <c r="N122" s="88"/>
      <c r="O122" s="198"/>
    </row>
    <row r="123" spans="1:15" ht="14.25" customHeight="1" x14ac:dyDescent="0.3">
      <c r="A123" s="61" t="s">
        <v>454</v>
      </c>
      <c r="C123" s="189"/>
      <c r="D123" s="190"/>
      <c r="E123" s="189"/>
      <c r="F123" s="191"/>
      <c r="G123" s="189"/>
      <c r="H123" s="191"/>
      <c r="I123" s="190"/>
      <c r="J123" s="190"/>
      <c r="K123" s="190"/>
      <c r="L123" s="190"/>
      <c r="M123" s="189">
        <f>+C123-E123+G123</f>
        <v>0</v>
      </c>
      <c r="N123" s="88"/>
      <c r="O123" s="198" t="s">
        <v>455</v>
      </c>
    </row>
    <row r="124" spans="1:15" ht="14.25" customHeight="1" x14ac:dyDescent="0.3">
      <c r="A124" s="61" t="s">
        <v>456</v>
      </c>
      <c r="C124" s="189"/>
      <c r="D124" s="190"/>
      <c r="E124" s="189"/>
      <c r="F124" s="191"/>
      <c r="G124" s="189"/>
      <c r="H124" s="191"/>
      <c r="I124" s="190"/>
      <c r="J124" s="190"/>
      <c r="K124" s="190"/>
      <c r="L124" s="190"/>
      <c r="M124" s="193">
        <f>+C124-E124+G124</f>
        <v>0</v>
      </c>
      <c r="N124" s="88"/>
      <c r="O124" s="198" t="s">
        <v>457</v>
      </c>
    </row>
    <row r="125" spans="1:15" ht="14.25" customHeight="1" x14ac:dyDescent="0.3">
      <c r="A125" s="61" t="s">
        <v>458</v>
      </c>
      <c r="C125" s="193"/>
      <c r="D125" s="190"/>
      <c r="E125" s="189"/>
      <c r="F125" s="191"/>
      <c r="G125" s="189"/>
      <c r="H125" s="191"/>
      <c r="I125" s="190"/>
      <c r="J125" s="190"/>
      <c r="K125" s="190"/>
      <c r="L125" s="190"/>
      <c r="M125" s="193">
        <f>+C125-E125-E126-E127+G125+G126+G127</f>
        <v>0</v>
      </c>
      <c r="N125" s="88"/>
      <c r="O125" s="198" t="s">
        <v>459</v>
      </c>
    </row>
    <row r="126" spans="1:15" ht="14.25" customHeight="1" x14ac:dyDescent="0.3">
      <c r="C126" s="190"/>
      <c r="D126" s="190"/>
      <c r="E126" s="189"/>
      <c r="F126" s="191"/>
      <c r="G126" s="189"/>
      <c r="H126" s="191"/>
      <c r="I126" s="190"/>
      <c r="J126" s="190"/>
      <c r="K126" s="190"/>
      <c r="L126" s="190"/>
      <c r="M126" s="190"/>
      <c r="N126" s="88"/>
      <c r="O126" s="192"/>
    </row>
    <row r="127" spans="1:15" ht="15" customHeight="1" x14ac:dyDescent="0.3">
      <c r="C127" s="190"/>
      <c r="D127" s="190"/>
      <c r="E127" s="189"/>
      <c r="F127" s="191"/>
      <c r="G127" s="189"/>
      <c r="H127" s="191"/>
      <c r="I127" s="190"/>
      <c r="J127" s="190"/>
      <c r="K127" s="190"/>
      <c r="L127" s="190"/>
      <c r="N127" s="88"/>
      <c r="O127" s="198"/>
    </row>
    <row r="128" spans="1:15" ht="14.25" customHeight="1" thickBot="1" x14ac:dyDescent="0.35">
      <c r="A128" s="92" t="s">
        <v>188</v>
      </c>
      <c r="C128" s="189">
        <f>+SUM(C106:C127)</f>
        <v>0</v>
      </c>
      <c r="D128" s="190"/>
      <c r="E128" s="189">
        <f>+SUM(E106:E127)</f>
        <v>47522.237058840285</v>
      </c>
      <c r="F128" s="191"/>
      <c r="G128" s="189">
        <f>+SUM(G106:G127)</f>
        <v>158004.17447060003</v>
      </c>
      <c r="H128" s="191"/>
      <c r="I128" s="190"/>
      <c r="J128" s="190"/>
      <c r="K128" s="190"/>
      <c r="L128" s="190"/>
      <c r="M128" s="195">
        <f>+SUM(M106:M127)</f>
        <v>110481.93741175976</v>
      </c>
      <c r="O128" s="198" t="s">
        <v>189</v>
      </c>
    </row>
    <row r="129" spans="1:15" ht="14.25" customHeight="1" thickTop="1" x14ac:dyDescent="0.3">
      <c r="C129" s="190"/>
      <c r="D129" s="190"/>
      <c r="E129" s="190"/>
      <c r="F129" s="191"/>
      <c r="G129" s="190"/>
      <c r="H129" s="191"/>
      <c r="I129" s="190"/>
      <c r="J129" s="190"/>
      <c r="K129" s="190"/>
      <c r="L129" s="190"/>
      <c r="M129" s="190"/>
      <c r="O129" s="192"/>
    </row>
    <row r="130" spans="1:15" ht="14.25" customHeight="1" x14ac:dyDescent="0.3">
      <c r="A130" s="199" t="s">
        <v>190</v>
      </c>
      <c r="C130" s="190"/>
      <c r="D130" s="190"/>
      <c r="E130" s="190"/>
      <c r="F130" s="191"/>
      <c r="G130" s="190"/>
      <c r="H130" s="191"/>
      <c r="I130" s="190"/>
      <c r="J130" s="190"/>
      <c r="K130" s="190"/>
      <c r="L130" s="190"/>
      <c r="M130" s="190"/>
      <c r="O130" s="192"/>
    </row>
    <row r="131" spans="1:15" ht="14.25" customHeight="1" thickBot="1" x14ac:dyDescent="0.35">
      <c r="A131" s="199" t="s">
        <v>191</v>
      </c>
      <c r="C131" s="200">
        <f>+C128+C103+C94</f>
        <v>0</v>
      </c>
      <c r="D131" s="201"/>
      <c r="E131" s="200">
        <f>+E128+E103+E94</f>
        <v>85065.124710580276</v>
      </c>
      <c r="F131" s="191"/>
      <c r="G131" s="200">
        <f>+G128+G103+G94</f>
        <v>388903.16877420002</v>
      </c>
      <c r="H131" s="191"/>
      <c r="I131" s="201"/>
      <c r="J131" s="201"/>
      <c r="K131" s="201"/>
      <c r="L131" s="201"/>
      <c r="M131" s="200">
        <f>+M128+M103+M94</f>
        <v>303838.04406361975</v>
      </c>
      <c r="O131" s="198"/>
    </row>
    <row r="132" spans="1:15" ht="14.25" customHeight="1" thickTop="1" x14ac:dyDescent="0.3">
      <c r="B132" s="88"/>
      <c r="C132" s="190"/>
      <c r="D132" s="190"/>
      <c r="E132" s="190"/>
      <c r="F132" s="191"/>
      <c r="G132" s="190"/>
      <c r="H132" s="191"/>
      <c r="I132" s="190"/>
      <c r="J132" s="190"/>
      <c r="K132" s="190"/>
      <c r="L132" s="190"/>
      <c r="M132" s="190"/>
      <c r="O132" s="192"/>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activeCell="A4" sqref="A4:M4"/>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85"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20" t="s">
        <v>756</v>
      </c>
      <c r="B1" s="420"/>
      <c r="C1" s="420"/>
      <c r="D1" s="420"/>
      <c r="E1" s="420"/>
      <c r="F1" s="420"/>
      <c r="G1" s="420"/>
      <c r="H1" s="420"/>
      <c r="I1" s="420"/>
      <c r="J1" s="420"/>
      <c r="K1" s="420"/>
      <c r="L1" s="420"/>
      <c r="M1" s="420"/>
      <c r="N1" s="420"/>
    </row>
    <row r="2" spans="1:16" ht="17.399999999999999" x14ac:dyDescent="0.3">
      <c r="A2" s="420" t="s">
        <v>461</v>
      </c>
      <c r="B2" s="420"/>
      <c r="C2" s="420"/>
      <c r="D2" s="420"/>
      <c r="E2" s="420"/>
      <c r="F2" s="420"/>
      <c r="G2" s="420"/>
      <c r="H2" s="420"/>
      <c r="I2" s="420"/>
      <c r="J2" s="420"/>
      <c r="K2" s="420"/>
      <c r="L2" s="420"/>
      <c r="M2" s="420"/>
      <c r="N2" s="420"/>
    </row>
    <row r="3" spans="1:16" ht="17.399999999999999" x14ac:dyDescent="0.3">
      <c r="A3" s="420" t="s">
        <v>462</v>
      </c>
      <c r="B3" s="420"/>
      <c r="C3" s="420"/>
      <c r="D3" s="420"/>
      <c r="E3" s="420"/>
      <c r="F3" s="420"/>
      <c r="G3" s="420"/>
      <c r="H3" s="420"/>
      <c r="I3" s="420"/>
      <c r="J3" s="420"/>
      <c r="K3" s="420"/>
      <c r="L3" s="420"/>
      <c r="M3" s="420"/>
      <c r="N3" s="420"/>
    </row>
    <row r="4" spans="1:16" x14ac:dyDescent="0.3">
      <c r="A4" s="422"/>
      <c r="B4" s="422"/>
      <c r="C4" s="422"/>
      <c r="D4" s="422"/>
      <c r="E4" s="422"/>
      <c r="F4" s="422"/>
      <c r="G4" s="422"/>
      <c r="H4" s="422"/>
      <c r="I4" s="422"/>
      <c r="J4" s="422"/>
      <c r="K4" s="422"/>
      <c r="L4" s="422"/>
      <c r="M4" s="422"/>
    </row>
    <row r="5" spans="1:16" x14ac:dyDescent="0.3">
      <c r="A5" s="179"/>
      <c r="B5" s="179"/>
      <c r="C5" s="83"/>
      <c r="D5" s="83"/>
      <c r="E5" s="83"/>
      <c r="F5" s="83"/>
      <c r="G5" s="83"/>
      <c r="H5" s="83"/>
      <c r="I5" s="83"/>
      <c r="J5" s="83"/>
      <c r="K5" s="83"/>
      <c r="L5" s="83"/>
      <c r="M5" s="83" t="s">
        <v>287</v>
      </c>
      <c r="N5" s="206"/>
      <c r="O5" s="88"/>
      <c r="P5" s="88"/>
    </row>
    <row r="6" spans="1:16" x14ac:dyDescent="0.3">
      <c r="A6" s="84"/>
      <c r="B6" s="84"/>
      <c r="C6" s="83" t="s">
        <v>164</v>
      </c>
      <c r="D6" s="186"/>
      <c r="E6" s="423" t="s">
        <v>165</v>
      </c>
      <c r="F6" s="423"/>
      <c r="G6" s="423"/>
      <c r="H6" s="423"/>
      <c r="I6" s="186"/>
      <c r="J6" s="186"/>
      <c r="K6" s="83"/>
      <c r="L6" s="83"/>
      <c r="M6" s="83" t="s">
        <v>353</v>
      </c>
      <c r="N6" s="187" t="s">
        <v>192</v>
      </c>
      <c r="O6" s="88"/>
      <c r="P6" s="88"/>
    </row>
    <row r="7" spans="1:16" x14ac:dyDescent="0.3">
      <c r="A7" s="84"/>
      <c r="B7" s="84"/>
      <c r="C7" s="83" t="s">
        <v>193</v>
      </c>
      <c r="D7" s="83"/>
      <c r="F7" s="83"/>
      <c r="G7" s="180"/>
      <c r="H7" s="83"/>
      <c r="I7" s="83"/>
      <c r="J7" s="83"/>
      <c r="K7" s="83"/>
      <c r="L7" s="83"/>
      <c r="M7" s="83" t="s">
        <v>355</v>
      </c>
      <c r="N7" s="187" t="s">
        <v>463</v>
      </c>
      <c r="O7" s="88"/>
      <c r="P7" s="88"/>
    </row>
    <row r="8" spans="1:16" x14ac:dyDescent="0.3">
      <c r="A8" s="84"/>
      <c r="B8" s="84"/>
      <c r="C8" s="180" t="s">
        <v>167</v>
      </c>
      <c r="D8" s="83"/>
      <c r="E8" s="180" t="s">
        <v>73</v>
      </c>
      <c r="F8" s="83" t="s">
        <v>464</v>
      </c>
      <c r="G8" s="180" t="s">
        <v>74</v>
      </c>
      <c r="H8" s="83" t="s">
        <v>464</v>
      </c>
      <c r="I8" s="180"/>
      <c r="J8" s="83"/>
      <c r="K8" s="180"/>
      <c r="L8" s="83"/>
      <c r="M8" s="180" t="s">
        <v>167</v>
      </c>
      <c r="N8" s="207" t="s">
        <v>465</v>
      </c>
      <c r="O8" s="88"/>
      <c r="P8" s="88"/>
    </row>
    <row r="9" spans="1:16" x14ac:dyDescent="0.3">
      <c r="A9" s="84"/>
      <c r="B9" s="84"/>
      <c r="C9" s="83"/>
      <c r="D9" s="179"/>
      <c r="E9" s="83"/>
      <c r="F9" s="179"/>
      <c r="G9" s="83"/>
      <c r="H9" s="179"/>
      <c r="I9" s="83"/>
      <c r="J9" s="179"/>
      <c r="K9" s="83"/>
      <c r="L9" s="179"/>
      <c r="M9" s="83"/>
    </row>
    <row r="10" spans="1:16" ht="18" customHeight="1" x14ac:dyDescent="0.3">
      <c r="A10" s="84" t="s">
        <v>466</v>
      </c>
      <c r="C10" s="98"/>
      <c r="D10" s="84"/>
      <c r="E10" s="98"/>
      <c r="F10" s="84"/>
      <c r="G10" s="98"/>
      <c r="H10" s="84"/>
      <c r="I10" s="84"/>
      <c r="J10" s="84"/>
      <c r="K10" s="84"/>
      <c r="L10" s="84"/>
      <c r="M10" s="98"/>
    </row>
    <row r="11" spans="1:16" ht="18" customHeight="1" x14ac:dyDescent="0.3">
      <c r="A11" s="61" t="s">
        <v>467</v>
      </c>
      <c r="C11" s="88"/>
      <c r="E11" s="88"/>
      <c r="G11" s="88"/>
      <c r="I11" s="88"/>
      <c r="K11" s="88"/>
      <c r="M11" s="88"/>
    </row>
    <row r="12" spans="1:16" ht="18" customHeight="1" x14ac:dyDescent="0.3">
      <c r="A12" s="61" t="s">
        <v>468</v>
      </c>
      <c r="C12" s="93"/>
      <c r="D12" s="86"/>
      <c r="E12" s="93"/>
      <c r="F12" s="86"/>
      <c r="G12" s="93"/>
      <c r="H12" s="86"/>
      <c r="I12" s="93"/>
      <c r="J12" s="86"/>
      <c r="K12" s="93"/>
      <c r="L12" s="86"/>
      <c r="M12" s="93">
        <f>+C12-E12+G12</f>
        <v>0</v>
      </c>
      <c r="N12" s="185" t="s">
        <v>469</v>
      </c>
    </row>
    <row r="13" spans="1:16" ht="18" customHeight="1" x14ac:dyDescent="0.3">
      <c r="A13" s="61" t="s">
        <v>470</v>
      </c>
      <c r="C13" s="93"/>
      <c r="D13" s="86"/>
      <c r="E13" s="93"/>
      <c r="F13" s="86"/>
      <c r="G13" s="93"/>
      <c r="H13" s="86"/>
      <c r="I13" s="93"/>
      <c r="J13" s="86"/>
      <c r="K13" s="93"/>
      <c r="L13" s="86"/>
      <c r="M13" s="93">
        <f t="shared" ref="M13:M19" si="0">+C13-E13+G13</f>
        <v>0</v>
      </c>
      <c r="N13" s="185" t="s">
        <v>469</v>
      </c>
    </row>
    <row r="14" spans="1:16" ht="18" customHeight="1" x14ac:dyDescent="0.3">
      <c r="A14" s="61" t="s">
        <v>471</v>
      </c>
      <c r="C14" s="93"/>
      <c r="D14" s="86"/>
      <c r="E14" s="93"/>
      <c r="F14" s="86"/>
      <c r="G14" s="93"/>
      <c r="H14" s="86"/>
      <c r="I14" s="93"/>
      <c r="J14" s="86"/>
      <c r="K14" s="93"/>
      <c r="L14" s="86"/>
      <c r="M14" s="93">
        <f t="shared" si="0"/>
        <v>0</v>
      </c>
      <c r="N14" s="185" t="s">
        <v>469</v>
      </c>
    </row>
    <row r="15" spans="1:16" ht="18" customHeight="1" x14ac:dyDescent="0.3">
      <c r="A15" s="61" t="s">
        <v>472</v>
      </c>
      <c r="C15" s="93"/>
      <c r="D15" s="86"/>
      <c r="E15" s="93"/>
      <c r="F15" s="86"/>
      <c r="G15" s="93"/>
      <c r="H15" s="86"/>
      <c r="I15" s="93"/>
      <c r="J15" s="86"/>
      <c r="K15" s="93"/>
      <c r="L15" s="86"/>
      <c r="M15" s="93">
        <f t="shared" si="0"/>
        <v>0</v>
      </c>
      <c r="N15" s="185" t="s">
        <v>469</v>
      </c>
    </row>
    <row r="16" spans="1:16" ht="18" customHeight="1" x14ac:dyDescent="0.3">
      <c r="A16" s="61" t="s">
        <v>473</v>
      </c>
      <c r="B16" s="88"/>
      <c r="C16" s="93"/>
      <c r="D16" s="86"/>
      <c r="E16" s="93"/>
      <c r="F16" s="86"/>
      <c r="G16" s="93"/>
      <c r="H16" s="86"/>
      <c r="I16" s="93"/>
      <c r="J16" s="86"/>
      <c r="K16" s="93"/>
      <c r="L16" s="86"/>
      <c r="M16" s="93">
        <f t="shared" si="0"/>
        <v>0</v>
      </c>
      <c r="N16" s="185" t="s">
        <v>469</v>
      </c>
    </row>
    <row r="17" spans="1:14" ht="18" customHeight="1" x14ac:dyDescent="0.3">
      <c r="A17" s="61" t="s">
        <v>474</v>
      </c>
      <c r="B17" s="88"/>
      <c r="C17" s="93"/>
      <c r="D17" s="86"/>
      <c r="E17" s="93"/>
      <c r="F17" s="86"/>
      <c r="G17" s="93"/>
      <c r="H17" s="86"/>
      <c r="I17" s="93"/>
      <c r="J17" s="86"/>
      <c r="K17" s="93"/>
      <c r="L17" s="86"/>
      <c r="M17" s="93">
        <f t="shared" si="0"/>
        <v>0</v>
      </c>
      <c r="N17" s="185" t="s">
        <v>475</v>
      </c>
    </row>
    <row r="18" spans="1:14" ht="18" customHeight="1" x14ac:dyDescent="0.3">
      <c r="A18" s="61" t="s">
        <v>476</v>
      </c>
      <c r="B18" s="88"/>
      <c r="C18" s="93"/>
      <c r="D18" s="86"/>
      <c r="E18" s="93"/>
      <c r="F18" s="86"/>
      <c r="G18" s="93"/>
      <c r="H18" s="86"/>
      <c r="I18" s="93"/>
      <c r="J18" s="86"/>
      <c r="K18" s="93"/>
      <c r="L18" s="86"/>
      <c r="M18" s="93">
        <f t="shared" si="0"/>
        <v>0</v>
      </c>
      <c r="N18" s="185" t="s">
        <v>469</v>
      </c>
    </row>
    <row r="19" spans="1:14" ht="18" customHeight="1" x14ac:dyDescent="0.3">
      <c r="A19" s="61" t="s">
        <v>477</v>
      </c>
      <c r="B19" s="88"/>
      <c r="C19" s="93"/>
      <c r="D19" s="86"/>
      <c r="E19" s="93"/>
      <c r="F19" s="86"/>
      <c r="G19" s="93"/>
      <c r="H19" s="86"/>
      <c r="I19" s="93"/>
      <c r="J19" s="86"/>
      <c r="K19" s="93"/>
      <c r="L19" s="86"/>
      <c r="M19" s="93">
        <f t="shared" si="0"/>
        <v>0</v>
      </c>
      <c r="N19" s="185" t="s">
        <v>469</v>
      </c>
    </row>
    <row r="20" spans="1:14" ht="18" customHeight="1" x14ac:dyDescent="0.3">
      <c r="B20" s="88"/>
      <c r="C20" s="93"/>
      <c r="D20" s="86"/>
      <c r="E20" s="93"/>
      <c r="F20" s="86"/>
      <c r="G20" s="93"/>
      <c r="H20" s="86"/>
      <c r="I20" s="85"/>
      <c r="J20" s="86"/>
      <c r="K20" s="85"/>
      <c r="L20" s="86"/>
      <c r="M20" s="93"/>
    </row>
    <row r="21" spans="1:14" ht="18" customHeight="1" x14ac:dyDescent="0.3">
      <c r="A21" s="61" t="s">
        <v>478</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479</v>
      </c>
      <c r="B23" s="88"/>
      <c r="C23" s="89"/>
      <c r="D23" s="86"/>
      <c r="E23" s="89"/>
      <c r="F23" s="86"/>
      <c r="G23" s="89"/>
      <c r="H23" s="86"/>
      <c r="I23" s="89"/>
      <c r="J23" s="86"/>
      <c r="K23" s="89"/>
      <c r="L23" s="86"/>
      <c r="M23" s="89">
        <f>+C23-E23+G23</f>
        <v>0</v>
      </c>
      <c r="N23" s="185" t="s">
        <v>480</v>
      </c>
    </row>
    <row r="24" spans="1:14" ht="18" customHeight="1" x14ac:dyDescent="0.3">
      <c r="B24" s="88"/>
      <c r="C24" s="85"/>
      <c r="D24" s="85"/>
      <c r="E24" s="85"/>
      <c r="F24" s="85"/>
      <c r="G24" s="85"/>
      <c r="H24" s="85"/>
      <c r="I24" s="85"/>
      <c r="J24" s="85"/>
      <c r="K24" s="85"/>
      <c r="L24" s="85"/>
      <c r="M24" s="85"/>
    </row>
    <row r="25" spans="1:14" ht="18" customHeight="1" x14ac:dyDescent="0.3">
      <c r="A25" s="61" t="s">
        <v>481</v>
      </c>
      <c r="B25" s="88"/>
      <c r="C25" s="85"/>
      <c r="D25" s="85"/>
      <c r="E25" s="85"/>
      <c r="F25" s="85"/>
      <c r="G25" s="85"/>
      <c r="H25" s="85"/>
      <c r="I25" s="85"/>
      <c r="J25" s="85"/>
      <c r="K25" s="85"/>
      <c r="L25" s="85"/>
      <c r="M25" s="85"/>
    </row>
    <row r="26" spans="1:14" ht="18" customHeight="1" x14ac:dyDescent="0.3">
      <c r="A26" s="61" t="s">
        <v>482</v>
      </c>
      <c r="B26" s="88"/>
      <c r="C26" s="93"/>
      <c r="D26" s="86"/>
      <c r="E26" s="93"/>
      <c r="F26" s="86"/>
      <c r="G26" s="93"/>
      <c r="H26" s="86"/>
      <c r="I26" s="93"/>
      <c r="J26" s="86"/>
      <c r="K26" s="93"/>
      <c r="L26" s="86"/>
      <c r="M26" s="93">
        <f>+C26-E26+G26</f>
        <v>0</v>
      </c>
      <c r="N26" s="185" t="s">
        <v>483</v>
      </c>
    </row>
    <row r="27" spans="1:14" ht="18" customHeight="1" x14ac:dyDescent="0.3">
      <c r="A27" s="61" t="s">
        <v>484</v>
      </c>
      <c r="B27" s="88"/>
      <c r="C27" s="93"/>
      <c r="D27" s="86"/>
      <c r="E27" s="93"/>
      <c r="F27" s="86"/>
      <c r="G27" s="93"/>
      <c r="H27" s="86"/>
      <c r="I27" s="93"/>
      <c r="J27" s="86"/>
      <c r="K27" s="93"/>
      <c r="L27" s="86"/>
      <c r="M27" s="93">
        <f>+C27-E27+G27</f>
        <v>0</v>
      </c>
      <c r="N27" s="185" t="s">
        <v>485</v>
      </c>
    </row>
    <row r="28" spans="1:14" ht="18" customHeight="1" x14ac:dyDescent="0.3">
      <c r="A28" s="61" t="s">
        <v>486</v>
      </c>
      <c r="B28" s="88"/>
      <c r="C28" s="93"/>
      <c r="D28" s="86"/>
      <c r="E28" s="93"/>
      <c r="F28" s="86"/>
      <c r="G28" s="93"/>
      <c r="H28" s="86"/>
      <c r="I28" s="93"/>
      <c r="J28" s="86"/>
      <c r="K28" s="93"/>
      <c r="L28" s="86"/>
      <c r="M28" s="93">
        <f>+C28-E28+G28</f>
        <v>0</v>
      </c>
      <c r="N28" s="185" t="s">
        <v>487</v>
      </c>
    </row>
    <row r="29" spans="1:14" ht="18" customHeight="1" x14ac:dyDescent="0.3">
      <c r="A29" s="61" t="s">
        <v>488</v>
      </c>
      <c r="B29" s="88"/>
      <c r="C29" s="93"/>
      <c r="D29" s="86"/>
      <c r="E29" s="93"/>
      <c r="F29" s="86"/>
      <c r="G29" s="93"/>
      <c r="H29" s="86"/>
      <c r="I29" s="93"/>
      <c r="J29" s="86"/>
      <c r="K29" s="93"/>
      <c r="L29" s="86"/>
      <c r="M29" s="93">
        <f>+C29-E29+G29</f>
        <v>0</v>
      </c>
      <c r="N29" s="185" t="s">
        <v>483</v>
      </c>
    </row>
    <row r="30" spans="1:14" ht="18" customHeight="1" x14ac:dyDescent="0.3">
      <c r="A30" s="61" t="s">
        <v>489</v>
      </c>
      <c r="B30" s="88"/>
      <c r="C30" s="85"/>
      <c r="D30" s="85"/>
      <c r="E30" s="85"/>
      <c r="F30" s="85"/>
      <c r="G30" s="85"/>
      <c r="H30" s="85"/>
      <c r="I30" s="85"/>
      <c r="J30" s="85"/>
      <c r="K30" s="85"/>
      <c r="L30" s="85"/>
      <c r="M30" s="85"/>
    </row>
    <row r="31" spans="1:14" ht="18" customHeight="1" x14ac:dyDescent="0.3">
      <c r="A31" s="61" t="s">
        <v>490</v>
      </c>
      <c r="B31" s="88"/>
      <c r="C31" s="93"/>
      <c r="D31" s="86"/>
      <c r="E31" s="93"/>
      <c r="F31" s="86"/>
      <c r="G31" s="93"/>
      <c r="H31" s="86"/>
      <c r="I31" s="93"/>
      <c r="J31" s="86"/>
      <c r="K31" s="93"/>
      <c r="L31" s="86"/>
      <c r="M31" s="93">
        <f>+C31-E31+G31</f>
        <v>0</v>
      </c>
      <c r="N31" s="185" t="s">
        <v>491</v>
      </c>
    </row>
    <row r="32" spans="1:14" ht="18" customHeight="1" x14ac:dyDescent="0.3">
      <c r="A32" s="61" t="s">
        <v>492</v>
      </c>
      <c r="B32" s="88"/>
      <c r="C32" s="93"/>
      <c r="D32" s="86"/>
      <c r="E32" s="93"/>
      <c r="F32" s="86"/>
      <c r="G32" s="93"/>
      <c r="H32" s="86"/>
      <c r="I32" s="93"/>
      <c r="J32" s="86"/>
      <c r="K32" s="93"/>
      <c r="L32" s="86"/>
      <c r="M32" s="93">
        <f>+C32-E32+G32</f>
        <v>0</v>
      </c>
      <c r="N32" s="185" t="s">
        <v>493</v>
      </c>
    </row>
    <row r="33" spans="1:16" ht="18" customHeight="1" x14ac:dyDescent="0.3">
      <c r="A33" s="61" t="s">
        <v>494</v>
      </c>
      <c r="B33" s="88"/>
      <c r="C33" s="93"/>
      <c r="D33" s="86"/>
      <c r="E33" s="93"/>
      <c r="F33" s="86"/>
      <c r="G33" s="93"/>
      <c r="H33" s="86"/>
      <c r="I33" s="93"/>
      <c r="J33" s="86"/>
      <c r="K33" s="93"/>
      <c r="L33" s="86"/>
      <c r="M33" s="93">
        <f>+C33-E33+G33</f>
        <v>0</v>
      </c>
      <c r="N33" s="185" t="s">
        <v>491</v>
      </c>
    </row>
    <row r="34" spans="1:16" ht="18" customHeight="1" x14ac:dyDescent="0.3">
      <c r="A34" s="61" t="s">
        <v>495</v>
      </c>
      <c r="B34" s="88"/>
      <c r="C34" s="93"/>
      <c r="D34" s="86"/>
      <c r="E34" s="93"/>
      <c r="F34" s="86"/>
      <c r="G34" s="93"/>
      <c r="H34" s="86"/>
      <c r="I34" s="93"/>
      <c r="J34" s="86"/>
      <c r="K34" s="93"/>
      <c r="L34" s="86"/>
      <c r="M34" s="93">
        <f>+C34-E34+G34</f>
        <v>0</v>
      </c>
      <c r="N34" s="185" t="s">
        <v>491</v>
      </c>
    </row>
    <row r="35" spans="1:16" ht="18" customHeight="1" x14ac:dyDescent="0.3">
      <c r="A35" s="61" t="s">
        <v>496</v>
      </c>
      <c r="B35" s="88"/>
      <c r="C35" s="85"/>
      <c r="D35" s="85"/>
      <c r="E35" s="85"/>
      <c r="F35" s="85"/>
      <c r="G35" s="85"/>
      <c r="H35" s="85"/>
      <c r="I35" s="85"/>
      <c r="J35" s="85"/>
      <c r="K35" s="85"/>
      <c r="L35" s="85"/>
      <c r="M35" s="85"/>
    </row>
    <row r="36" spans="1:16" ht="18" customHeight="1" x14ac:dyDescent="0.3">
      <c r="A36" s="61" t="s">
        <v>497</v>
      </c>
      <c r="B36" s="88"/>
      <c r="C36" s="93"/>
      <c r="D36" s="86"/>
      <c r="E36" s="93"/>
      <c r="F36" s="86"/>
      <c r="G36" s="93"/>
      <c r="H36" s="86"/>
      <c r="I36" s="93"/>
      <c r="J36" s="86"/>
      <c r="K36" s="93"/>
      <c r="L36" s="86"/>
      <c r="M36" s="93">
        <f t="shared" ref="M36:M57" si="1">+C36-E36+G36</f>
        <v>0</v>
      </c>
      <c r="N36" s="185" t="s">
        <v>498</v>
      </c>
    </row>
    <row r="37" spans="1:16" ht="18" customHeight="1" x14ac:dyDescent="0.3">
      <c r="A37" s="61" t="s">
        <v>499</v>
      </c>
      <c r="B37" s="88"/>
      <c r="C37" s="85"/>
      <c r="D37" s="85"/>
      <c r="E37" s="85"/>
      <c r="F37" s="85"/>
      <c r="G37" s="85"/>
      <c r="H37" s="85"/>
      <c r="I37" s="85"/>
      <c r="J37" s="85"/>
      <c r="K37" s="85"/>
      <c r="L37" s="85"/>
      <c r="M37" s="85"/>
    </row>
    <row r="38" spans="1:16" ht="18" customHeight="1" x14ac:dyDescent="0.3">
      <c r="A38" s="61" t="s">
        <v>500</v>
      </c>
      <c r="B38" s="88"/>
      <c r="C38" s="93"/>
      <c r="D38" s="86"/>
      <c r="E38" s="93"/>
      <c r="F38" s="86"/>
      <c r="G38" s="93"/>
      <c r="H38" s="86"/>
      <c r="I38" s="93"/>
      <c r="J38" s="86"/>
      <c r="K38" s="93"/>
      <c r="L38" s="86"/>
      <c r="M38" s="93">
        <f t="shared" si="1"/>
        <v>0</v>
      </c>
      <c r="N38" s="185" t="s">
        <v>501</v>
      </c>
    </row>
    <row r="39" spans="1:16" ht="18" customHeight="1" x14ac:dyDescent="0.3">
      <c r="A39" s="61" t="s">
        <v>502</v>
      </c>
      <c r="B39" s="88"/>
      <c r="C39" s="85"/>
      <c r="D39" s="85"/>
      <c r="E39" s="85"/>
      <c r="F39" s="85"/>
      <c r="G39" s="85"/>
      <c r="H39" s="85"/>
      <c r="I39" s="85"/>
      <c r="J39" s="85"/>
      <c r="K39" s="85"/>
      <c r="L39" s="85"/>
      <c r="M39" s="85"/>
    </row>
    <row r="40" spans="1:16" ht="18" customHeight="1" x14ac:dyDescent="0.3">
      <c r="A40" s="61" t="s">
        <v>503</v>
      </c>
      <c r="B40" s="88"/>
      <c r="C40" s="93"/>
      <c r="D40" s="86"/>
      <c r="E40" s="93"/>
      <c r="F40" s="86"/>
      <c r="G40" s="93"/>
      <c r="H40" s="86"/>
      <c r="I40" s="93"/>
      <c r="J40" s="86"/>
      <c r="K40" s="93"/>
      <c r="L40" s="86"/>
      <c r="M40" s="93">
        <f t="shared" si="1"/>
        <v>0</v>
      </c>
      <c r="N40" s="185" t="s">
        <v>493</v>
      </c>
    </row>
    <row r="41" spans="1:16" ht="18" customHeight="1" x14ac:dyDescent="0.3">
      <c r="A41" s="61" t="s">
        <v>504</v>
      </c>
      <c r="B41" s="88"/>
      <c r="C41" s="93"/>
      <c r="D41" s="86"/>
      <c r="E41" s="93"/>
      <c r="F41" s="86"/>
      <c r="G41" s="93"/>
      <c r="H41" s="86"/>
      <c r="I41" s="93"/>
      <c r="J41" s="86"/>
      <c r="K41" s="93"/>
      <c r="L41" s="86"/>
      <c r="M41" s="93">
        <f t="shared" si="1"/>
        <v>0</v>
      </c>
      <c r="N41" s="185" t="s">
        <v>493</v>
      </c>
    </row>
    <row r="42" spans="1:16" ht="18" customHeight="1" x14ac:dyDescent="0.3">
      <c r="A42" s="61" t="s">
        <v>505</v>
      </c>
      <c r="B42" s="88"/>
      <c r="C42" s="85"/>
      <c r="D42" s="85"/>
      <c r="E42" s="85"/>
      <c r="F42" s="85"/>
      <c r="G42" s="85"/>
      <c r="H42" s="85"/>
      <c r="I42" s="85"/>
      <c r="J42" s="85"/>
      <c r="K42" s="85"/>
      <c r="L42" s="85"/>
      <c r="M42" s="85"/>
    </row>
    <row r="43" spans="1:16" ht="18" customHeight="1" x14ac:dyDescent="0.3">
      <c r="A43" s="61" t="s">
        <v>506</v>
      </c>
      <c r="B43" s="88"/>
      <c r="C43" s="93"/>
      <c r="D43" s="86"/>
      <c r="E43" s="93"/>
      <c r="F43" s="86"/>
      <c r="G43" s="93"/>
      <c r="H43" s="86"/>
      <c r="I43" s="85"/>
      <c r="J43" s="86"/>
      <c r="K43" s="85"/>
      <c r="L43" s="86"/>
      <c r="M43" s="93">
        <f t="shared" si="1"/>
        <v>0</v>
      </c>
      <c r="N43" s="185" t="s">
        <v>501</v>
      </c>
    </row>
    <row r="44" spans="1:16" ht="18" customHeight="1" x14ac:dyDescent="0.3">
      <c r="A44" s="61" t="s">
        <v>507</v>
      </c>
      <c r="B44" s="88"/>
      <c r="C44" s="85"/>
      <c r="D44" s="85"/>
      <c r="E44" s="85"/>
      <c r="F44" s="85"/>
      <c r="G44" s="85"/>
      <c r="H44" s="85"/>
      <c r="I44" s="85"/>
      <c r="J44" s="85"/>
      <c r="K44" s="85"/>
      <c r="L44" s="85"/>
      <c r="M44" s="85"/>
      <c r="N44" s="206"/>
    </row>
    <row r="45" spans="1:16" ht="18" customHeight="1" x14ac:dyDescent="0.3">
      <c r="A45" s="61" t="s">
        <v>508</v>
      </c>
      <c r="B45" s="88"/>
      <c r="C45" s="93"/>
      <c r="D45" s="86"/>
      <c r="E45" s="93"/>
      <c r="F45" s="86"/>
      <c r="G45" s="93"/>
      <c r="H45" s="86"/>
      <c r="I45" s="93"/>
      <c r="J45" s="86"/>
      <c r="K45" s="93"/>
      <c r="L45" s="86"/>
      <c r="M45" s="93">
        <f>+C45-E45+G45</f>
        <v>0</v>
      </c>
      <c r="N45" s="185" t="s">
        <v>493</v>
      </c>
    </row>
    <row r="46" spans="1:16" ht="18" customHeight="1" x14ac:dyDescent="0.3">
      <c r="A46" s="61" t="s">
        <v>509</v>
      </c>
      <c r="B46" s="88"/>
      <c r="C46" s="85"/>
      <c r="D46" s="85"/>
      <c r="E46" s="85"/>
      <c r="F46" s="85"/>
      <c r="G46" s="85"/>
      <c r="H46" s="85"/>
      <c r="I46" s="85"/>
      <c r="J46" s="85"/>
      <c r="K46" s="85"/>
      <c r="L46" s="85"/>
      <c r="M46" s="85"/>
      <c r="N46" s="206"/>
      <c r="O46" s="88"/>
      <c r="P46" s="88"/>
    </row>
    <row r="47" spans="1:16" ht="18" customHeight="1" x14ac:dyDescent="0.3">
      <c r="A47" s="61" t="s">
        <v>510</v>
      </c>
      <c r="B47" s="88"/>
      <c r="C47" s="93"/>
      <c r="D47" s="86"/>
      <c r="E47" s="93"/>
      <c r="F47" s="86"/>
      <c r="G47" s="93"/>
      <c r="H47" s="86"/>
      <c r="I47" s="85"/>
      <c r="J47" s="86"/>
      <c r="K47" s="85"/>
      <c r="L47" s="86"/>
      <c r="M47" s="93">
        <f t="shared" si="1"/>
        <v>0</v>
      </c>
      <c r="N47" s="185" t="s">
        <v>493</v>
      </c>
    </row>
    <row r="48" spans="1:16" ht="18" customHeight="1" x14ac:dyDescent="0.3">
      <c r="A48" s="61" t="s">
        <v>511</v>
      </c>
      <c r="B48" s="88"/>
      <c r="C48" s="85"/>
      <c r="D48" s="85"/>
      <c r="E48" s="85"/>
      <c r="F48" s="85"/>
      <c r="G48" s="85"/>
      <c r="H48" s="85"/>
      <c r="I48" s="85"/>
      <c r="J48" s="85"/>
      <c r="K48" s="85"/>
      <c r="L48" s="85"/>
      <c r="M48" s="85"/>
    </row>
    <row r="49" spans="1:14" ht="18" customHeight="1" x14ac:dyDescent="0.3">
      <c r="A49" s="61" t="s">
        <v>512</v>
      </c>
      <c r="B49" s="88"/>
      <c r="C49" s="93"/>
      <c r="D49" s="86"/>
      <c r="E49" s="93"/>
      <c r="F49" s="86"/>
      <c r="G49" s="93"/>
      <c r="H49" s="86"/>
      <c r="I49" s="93"/>
      <c r="J49" s="86"/>
      <c r="K49" s="93"/>
      <c r="L49" s="86"/>
      <c r="M49" s="93">
        <f t="shared" si="1"/>
        <v>0</v>
      </c>
      <c r="N49" s="185" t="s">
        <v>491</v>
      </c>
    </row>
    <row r="50" spans="1:14" ht="18" customHeight="1" x14ac:dyDescent="0.3">
      <c r="A50" s="61" t="s">
        <v>513</v>
      </c>
      <c r="B50" s="88"/>
      <c r="C50" s="93"/>
      <c r="D50" s="86"/>
      <c r="E50" s="93"/>
      <c r="F50" s="86"/>
      <c r="G50" s="93"/>
      <c r="H50" s="86"/>
      <c r="I50" s="93"/>
      <c r="J50" s="86"/>
      <c r="K50" s="93"/>
      <c r="L50" s="86"/>
      <c r="M50" s="93">
        <f>+C50-E50+G50</f>
        <v>0</v>
      </c>
      <c r="N50" s="185" t="s">
        <v>501</v>
      </c>
    </row>
    <row r="51" spans="1:14" ht="18" customHeight="1" x14ac:dyDescent="0.3">
      <c r="A51" s="61" t="s">
        <v>514</v>
      </c>
      <c r="B51" s="88"/>
      <c r="C51" s="93"/>
      <c r="D51" s="86"/>
      <c r="E51" s="93"/>
      <c r="F51" s="86"/>
      <c r="G51" s="93"/>
      <c r="H51" s="86"/>
      <c r="I51" s="93"/>
      <c r="J51" s="86"/>
      <c r="K51" s="93"/>
      <c r="L51" s="86"/>
      <c r="M51" s="93">
        <f>+C51-E51+G51</f>
        <v>0</v>
      </c>
      <c r="N51" s="208" t="s">
        <v>491</v>
      </c>
    </row>
    <row r="52" spans="1:14" ht="18" customHeight="1" x14ac:dyDescent="0.3">
      <c r="A52" s="92" t="s">
        <v>515</v>
      </c>
      <c r="B52" s="88"/>
      <c r="C52" s="93"/>
      <c r="D52" s="86"/>
      <c r="E52" s="93"/>
      <c r="F52" s="86"/>
      <c r="G52" s="93"/>
      <c r="H52" s="86"/>
      <c r="I52" s="93"/>
      <c r="J52" s="86"/>
      <c r="K52" s="93"/>
      <c r="L52" s="86"/>
      <c r="M52" s="93">
        <f>+C52-E52+G52</f>
        <v>0</v>
      </c>
      <c r="N52" s="198" t="s">
        <v>516</v>
      </c>
    </row>
    <row r="53" spans="1:14" ht="18" customHeight="1" x14ac:dyDescent="0.3">
      <c r="A53" s="92" t="s">
        <v>517</v>
      </c>
      <c r="B53" s="88"/>
      <c r="C53" s="93"/>
      <c r="D53" s="86"/>
      <c r="E53" s="93"/>
      <c r="F53" s="86"/>
      <c r="G53" s="93"/>
      <c r="H53" s="86"/>
      <c r="I53" s="93"/>
      <c r="J53" s="86"/>
      <c r="K53" s="93"/>
      <c r="L53" s="86"/>
      <c r="M53" s="93">
        <f>+C53-E53+G53</f>
        <v>0</v>
      </c>
      <c r="N53" s="198" t="s">
        <v>518</v>
      </c>
    </row>
    <row r="54" spans="1:14" ht="18" customHeight="1" x14ac:dyDescent="0.3">
      <c r="A54" s="61" t="s">
        <v>519</v>
      </c>
      <c r="B54" s="88"/>
      <c r="C54" s="93"/>
      <c r="D54" s="86"/>
      <c r="E54" s="93"/>
      <c r="F54" s="86"/>
      <c r="G54" s="93"/>
      <c r="H54" s="86"/>
      <c r="I54" s="93"/>
      <c r="J54" s="86"/>
      <c r="K54" s="93"/>
      <c r="L54" s="86"/>
      <c r="M54" s="93">
        <f t="shared" si="1"/>
        <v>0</v>
      </c>
      <c r="N54" s="208" t="s">
        <v>520</v>
      </c>
    </row>
    <row r="55" spans="1:14" ht="18" customHeight="1" x14ac:dyDescent="0.3">
      <c r="A55" s="61" t="s">
        <v>521</v>
      </c>
      <c r="B55" s="88"/>
      <c r="C55" s="93"/>
      <c r="D55" s="86"/>
      <c r="E55" s="93"/>
      <c r="F55" s="86"/>
      <c r="G55" s="93"/>
      <c r="H55" s="86"/>
      <c r="I55" s="93"/>
      <c r="J55" s="86"/>
      <c r="K55" s="93"/>
      <c r="L55" s="86"/>
      <c r="M55" s="93">
        <f t="shared" si="1"/>
        <v>0</v>
      </c>
      <c r="N55" s="208" t="s">
        <v>491</v>
      </c>
    </row>
    <row r="56" spans="1:14" ht="18" customHeight="1" x14ac:dyDescent="0.3">
      <c r="A56" s="61" t="s">
        <v>522</v>
      </c>
      <c r="B56" s="88"/>
      <c r="C56" s="93"/>
      <c r="D56" s="86"/>
      <c r="E56" s="93"/>
      <c r="F56" s="86"/>
      <c r="G56" s="93"/>
      <c r="H56" s="86"/>
      <c r="I56" s="93"/>
      <c r="J56" s="86"/>
      <c r="K56" s="93"/>
      <c r="L56" s="86"/>
      <c r="M56" s="93">
        <f t="shared" si="1"/>
        <v>0</v>
      </c>
      <c r="N56" s="208" t="s">
        <v>491</v>
      </c>
    </row>
    <row r="57" spans="1:14" ht="18" customHeight="1" x14ac:dyDescent="0.3">
      <c r="A57" s="61" t="s">
        <v>523</v>
      </c>
      <c r="B57" s="88"/>
      <c r="C57" s="93"/>
      <c r="D57" s="86"/>
      <c r="E57" s="93"/>
      <c r="F57" s="86"/>
      <c r="G57" s="93"/>
      <c r="H57" s="86"/>
      <c r="I57" s="93"/>
      <c r="J57" s="86"/>
      <c r="K57" s="93"/>
      <c r="L57" s="86"/>
      <c r="M57" s="93">
        <f t="shared" si="1"/>
        <v>0</v>
      </c>
      <c r="N57" s="208" t="s">
        <v>524</v>
      </c>
    </row>
    <row r="58" spans="1:14" ht="18" customHeight="1" x14ac:dyDescent="0.3">
      <c r="B58" s="88"/>
      <c r="C58" s="85"/>
      <c r="D58" s="86"/>
      <c r="E58" s="85"/>
      <c r="F58" s="86"/>
      <c r="G58" s="85"/>
      <c r="H58" s="86"/>
      <c r="I58" s="85"/>
      <c r="J58" s="86"/>
      <c r="K58" s="85"/>
      <c r="L58" s="86"/>
      <c r="M58" s="85"/>
      <c r="N58" s="208"/>
    </row>
    <row r="59" spans="1:14" ht="18" customHeight="1" x14ac:dyDescent="0.3">
      <c r="A59" s="61" t="s">
        <v>525</v>
      </c>
      <c r="B59" s="88"/>
      <c r="C59" s="89">
        <f>SUM(C26:C57)</f>
        <v>0</v>
      </c>
      <c r="D59" s="86"/>
      <c r="E59" s="89">
        <f>SUM(E26:E57)</f>
        <v>0</v>
      </c>
      <c r="F59" s="86"/>
      <c r="G59" s="89">
        <f>SUM(G26:G57)</f>
        <v>0</v>
      </c>
      <c r="H59" s="86"/>
      <c r="I59" s="85"/>
      <c r="J59" s="86"/>
      <c r="K59" s="85"/>
      <c r="L59" s="86"/>
      <c r="M59" s="89">
        <f>SUM(M26:M57)</f>
        <v>0</v>
      </c>
      <c r="N59" s="208"/>
    </row>
    <row r="60" spans="1:14" ht="18" customHeight="1" x14ac:dyDescent="0.3">
      <c r="B60" s="88"/>
      <c r="C60" s="85"/>
      <c r="D60" s="86"/>
      <c r="E60" s="85"/>
      <c r="F60" s="86"/>
      <c r="G60" s="85"/>
      <c r="H60" s="86"/>
      <c r="I60" s="85"/>
      <c r="J60" s="86"/>
      <c r="K60" s="85"/>
      <c r="L60" s="86"/>
      <c r="M60" s="85"/>
    </row>
    <row r="61" spans="1:14" ht="18" customHeight="1" x14ac:dyDescent="0.3">
      <c r="A61" s="61" t="s">
        <v>526</v>
      </c>
      <c r="C61" s="85"/>
      <c r="D61" s="85"/>
      <c r="E61" s="85"/>
      <c r="F61" s="85"/>
      <c r="G61" s="85"/>
      <c r="H61" s="85"/>
      <c r="I61" s="85"/>
      <c r="J61" s="85"/>
      <c r="K61" s="85"/>
      <c r="L61" s="85"/>
      <c r="M61" s="85"/>
    </row>
    <row r="62" spans="1:14" ht="18" customHeight="1" x14ac:dyDescent="0.3">
      <c r="A62" s="61" t="s">
        <v>527</v>
      </c>
      <c r="C62" s="85"/>
      <c r="D62" s="85"/>
      <c r="E62" s="85"/>
      <c r="F62" s="85"/>
      <c r="G62" s="85"/>
      <c r="H62" s="85"/>
      <c r="I62" s="85"/>
      <c r="J62" s="85"/>
      <c r="K62" s="85"/>
      <c r="L62" s="85"/>
      <c r="M62" s="85"/>
    </row>
    <row r="63" spans="1:14" ht="18" customHeight="1" x14ac:dyDescent="0.3">
      <c r="A63" s="61" t="s">
        <v>528</v>
      </c>
      <c r="C63" s="93"/>
      <c r="D63" s="86"/>
      <c r="E63" s="93"/>
      <c r="F63" s="86"/>
      <c r="G63" s="93"/>
      <c r="H63" s="86"/>
      <c r="I63" s="93"/>
      <c r="J63" s="86"/>
      <c r="K63" s="93"/>
      <c r="L63" s="86"/>
      <c r="M63" s="93">
        <f t="shared" ref="M63:M68" si="2">+C63-E63+G63</f>
        <v>0</v>
      </c>
      <c r="N63" s="185" t="s">
        <v>529</v>
      </c>
    </row>
    <row r="64" spans="1:14" ht="18" customHeight="1" x14ac:dyDescent="0.3">
      <c r="A64" s="61" t="s">
        <v>530</v>
      </c>
      <c r="C64" s="93"/>
      <c r="D64" s="86"/>
      <c r="E64" s="93"/>
      <c r="F64" s="86"/>
      <c r="G64" s="93"/>
      <c r="H64" s="86"/>
      <c r="I64" s="93"/>
      <c r="J64" s="86"/>
      <c r="K64" s="93"/>
      <c r="L64" s="86"/>
      <c r="M64" s="93">
        <f t="shared" si="2"/>
        <v>0</v>
      </c>
      <c r="N64" s="185" t="s">
        <v>529</v>
      </c>
    </row>
    <row r="65" spans="1:14" ht="18" customHeight="1" x14ac:dyDescent="0.3">
      <c r="A65" s="61" t="s">
        <v>531</v>
      </c>
      <c r="C65" s="93"/>
      <c r="D65" s="86"/>
      <c r="E65" s="93"/>
      <c r="F65" s="86"/>
      <c r="G65" s="93"/>
      <c r="H65" s="86"/>
      <c r="I65" s="93"/>
      <c r="J65" s="86"/>
      <c r="K65" s="93"/>
      <c r="L65" s="86"/>
      <c r="M65" s="93">
        <f t="shared" si="2"/>
        <v>0</v>
      </c>
      <c r="N65" s="185" t="s">
        <v>529</v>
      </c>
    </row>
    <row r="66" spans="1:14" ht="18" customHeight="1" x14ac:dyDescent="0.3">
      <c r="A66" s="61" t="s">
        <v>532</v>
      </c>
      <c r="C66" s="93"/>
      <c r="D66" s="86"/>
      <c r="E66" s="93"/>
      <c r="F66" s="86"/>
      <c r="G66" s="93"/>
      <c r="H66" s="86"/>
      <c r="I66" s="93"/>
      <c r="J66" s="86"/>
      <c r="K66" s="93"/>
      <c r="L66" s="86"/>
      <c r="M66" s="93">
        <f t="shared" si="2"/>
        <v>0</v>
      </c>
      <c r="N66" s="185" t="s">
        <v>529</v>
      </c>
    </row>
    <row r="67" spans="1:14" ht="18" customHeight="1" x14ac:dyDescent="0.3">
      <c r="A67" s="61" t="s">
        <v>533</v>
      </c>
      <c r="C67" s="93"/>
      <c r="D67" s="86"/>
      <c r="E67" s="93"/>
      <c r="F67" s="86"/>
      <c r="G67" s="93"/>
      <c r="H67" s="86"/>
      <c r="I67" s="93"/>
      <c r="J67" s="86"/>
      <c r="K67" s="93"/>
      <c r="L67" s="86"/>
      <c r="M67" s="93">
        <f t="shared" si="2"/>
        <v>0</v>
      </c>
      <c r="N67" s="185" t="s">
        <v>529</v>
      </c>
    </row>
    <row r="68" spans="1:14" ht="18" customHeight="1" x14ac:dyDescent="0.3">
      <c r="A68" s="61" t="s">
        <v>534</v>
      </c>
      <c r="C68" s="93"/>
      <c r="D68" s="86"/>
      <c r="E68" s="93"/>
      <c r="F68" s="86"/>
      <c r="G68" s="93"/>
      <c r="H68" s="86"/>
      <c r="I68" s="93"/>
      <c r="J68" s="86"/>
      <c r="K68" s="93"/>
      <c r="L68" s="86"/>
      <c r="M68" s="93">
        <f t="shared" si="2"/>
        <v>0</v>
      </c>
      <c r="N68" s="185" t="s">
        <v>529</v>
      </c>
    </row>
    <row r="69" spans="1:14" ht="18" customHeight="1" x14ac:dyDescent="0.3">
      <c r="A69" s="61" t="s">
        <v>535</v>
      </c>
      <c r="C69" s="86"/>
      <c r="D69" s="86"/>
      <c r="E69" s="86"/>
      <c r="F69" s="86"/>
      <c r="G69" s="86"/>
      <c r="H69" s="86"/>
      <c r="I69" s="86"/>
      <c r="J69" s="86"/>
      <c r="K69" s="86"/>
      <c r="L69" s="86"/>
      <c r="M69" s="86"/>
    </row>
    <row r="70" spans="1:14" ht="18" customHeight="1" x14ac:dyDescent="0.3">
      <c r="A70" s="61" t="s">
        <v>536</v>
      </c>
      <c r="C70" s="93"/>
      <c r="D70" s="86"/>
      <c r="E70" s="93"/>
      <c r="F70" s="86"/>
      <c r="G70" s="93"/>
      <c r="H70" s="86"/>
      <c r="I70" s="93"/>
      <c r="J70" s="86"/>
      <c r="K70" s="93"/>
      <c r="L70" s="86"/>
      <c r="M70" s="93">
        <f>+C70-E70+G70</f>
        <v>0</v>
      </c>
      <c r="N70" s="185" t="s">
        <v>537</v>
      </c>
    </row>
    <row r="71" spans="1:14" ht="18" customHeight="1" x14ac:dyDescent="0.3">
      <c r="A71" s="61" t="s">
        <v>538</v>
      </c>
      <c r="C71" s="93"/>
      <c r="D71" s="86"/>
      <c r="E71" s="93"/>
      <c r="F71" s="86"/>
      <c r="G71" s="93"/>
      <c r="H71" s="86"/>
      <c r="I71" s="93"/>
      <c r="J71" s="86"/>
      <c r="K71" s="93"/>
      <c r="L71" s="86"/>
      <c r="M71" s="93">
        <f>+C71-E71+G71</f>
        <v>0</v>
      </c>
      <c r="N71" s="185" t="s">
        <v>537</v>
      </c>
    </row>
    <row r="72" spans="1:14" ht="18" customHeight="1" x14ac:dyDescent="0.3">
      <c r="A72" s="61" t="s">
        <v>539</v>
      </c>
      <c r="C72" s="93"/>
      <c r="D72" s="86"/>
      <c r="E72" s="93"/>
      <c r="F72" s="86"/>
      <c r="G72" s="93"/>
      <c r="H72" s="86"/>
      <c r="I72" s="93"/>
      <c r="J72" s="86"/>
      <c r="K72" s="93"/>
      <c r="L72" s="86"/>
      <c r="M72" s="93">
        <f>+C72-E72+G72</f>
        <v>0</v>
      </c>
      <c r="N72" s="185" t="s">
        <v>537</v>
      </c>
    </row>
    <row r="73" spans="1:14" ht="18" customHeight="1" x14ac:dyDescent="0.3">
      <c r="A73" s="61" t="s">
        <v>540</v>
      </c>
      <c r="C73" s="93"/>
      <c r="D73" s="86"/>
      <c r="E73" s="93"/>
      <c r="F73" s="86"/>
      <c r="G73" s="93"/>
      <c r="H73" s="86"/>
      <c r="I73" s="93"/>
      <c r="J73" s="86"/>
      <c r="K73" s="93"/>
      <c r="L73" s="86"/>
      <c r="M73" s="93">
        <f>+C73-E73+G73</f>
        <v>0</v>
      </c>
      <c r="N73" s="185" t="s">
        <v>537</v>
      </c>
    </row>
    <row r="74" spans="1:14" ht="18" customHeight="1" x14ac:dyDescent="0.3">
      <c r="A74" s="61" t="s">
        <v>541</v>
      </c>
      <c r="C74" s="86"/>
      <c r="D74" s="86"/>
      <c r="E74" s="86"/>
      <c r="F74" s="86"/>
      <c r="G74" s="86"/>
      <c r="H74" s="86"/>
      <c r="I74" s="86"/>
      <c r="J74" s="86"/>
      <c r="K74" s="86"/>
      <c r="L74" s="86"/>
      <c r="M74" s="86"/>
    </row>
    <row r="75" spans="1:14" ht="18" customHeight="1" x14ac:dyDescent="0.3">
      <c r="A75" s="82" t="s">
        <v>542</v>
      </c>
      <c r="C75" s="93"/>
      <c r="D75" s="86"/>
      <c r="E75" s="93"/>
      <c r="F75" s="86"/>
      <c r="G75" s="93"/>
      <c r="H75" s="86"/>
      <c r="I75" s="93"/>
      <c r="J75" s="86"/>
      <c r="K75" s="93"/>
      <c r="L75" s="86"/>
      <c r="M75" s="93">
        <f>+C75-E75+G75</f>
        <v>0</v>
      </c>
      <c r="N75" s="185" t="s">
        <v>543</v>
      </c>
    </row>
    <row r="76" spans="1:14" ht="18" customHeight="1" x14ac:dyDescent="0.3">
      <c r="A76" s="61" t="s">
        <v>544</v>
      </c>
      <c r="C76" s="93"/>
      <c r="D76" s="86"/>
      <c r="E76" s="93"/>
      <c r="F76" s="86"/>
      <c r="G76" s="93"/>
      <c r="H76" s="86"/>
      <c r="I76" s="93"/>
      <c r="J76" s="86"/>
      <c r="K76" s="93"/>
      <c r="L76" s="86"/>
      <c r="M76" s="93">
        <f>+C76-E76+G76</f>
        <v>0</v>
      </c>
      <c r="N76" s="185" t="s">
        <v>543</v>
      </c>
    </row>
    <row r="77" spans="1:14" ht="18" customHeight="1" x14ac:dyDescent="0.3">
      <c r="A77" s="61" t="s">
        <v>545</v>
      </c>
      <c r="C77" s="86"/>
      <c r="D77" s="86"/>
      <c r="E77" s="86"/>
      <c r="F77" s="86"/>
      <c r="G77" s="86"/>
      <c r="H77" s="86"/>
      <c r="I77" s="86"/>
      <c r="J77" s="86"/>
      <c r="K77" s="86"/>
      <c r="L77" s="86"/>
      <c r="M77" s="86"/>
    </row>
    <row r="78" spans="1:14" ht="18" customHeight="1" x14ac:dyDescent="0.3">
      <c r="A78" s="61" t="s">
        <v>546</v>
      </c>
      <c r="C78" s="93"/>
      <c r="D78" s="85"/>
      <c r="E78" s="93"/>
      <c r="F78" s="85"/>
      <c r="G78" s="93"/>
      <c r="H78" s="85"/>
      <c r="I78" s="93"/>
      <c r="J78" s="93"/>
      <c r="K78" s="93"/>
      <c r="L78" s="93"/>
      <c r="M78" s="93">
        <f t="shared" ref="M78:M83" si="3">+C78-E78+G78</f>
        <v>0</v>
      </c>
      <c r="N78" s="185" t="s">
        <v>547</v>
      </c>
    </row>
    <row r="79" spans="1:14" ht="18" customHeight="1" x14ac:dyDescent="0.3">
      <c r="A79" s="61" t="s">
        <v>548</v>
      </c>
      <c r="C79" s="93"/>
      <c r="D79" s="86"/>
      <c r="E79" s="93"/>
      <c r="F79" s="86"/>
      <c r="G79" s="93"/>
      <c r="H79" s="86"/>
      <c r="I79" s="93"/>
      <c r="J79" s="86"/>
      <c r="K79" s="93"/>
      <c r="L79" s="86"/>
      <c r="M79" s="93">
        <f t="shared" si="3"/>
        <v>0</v>
      </c>
      <c r="N79" s="185" t="s">
        <v>547</v>
      </c>
    </row>
    <row r="80" spans="1:14" ht="18" customHeight="1" x14ac:dyDescent="0.3">
      <c r="A80" s="61" t="s">
        <v>549</v>
      </c>
      <c r="C80" s="93"/>
      <c r="D80" s="86"/>
      <c r="E80" s="93"/>
      <c r="F80" s="86"/>
      <c r="G80" s="93"/>
      <c r="H80" s="86"/>
      <c r="I80" s="93"/>
      <c r="J80" s="86"/>
      <c r="K80" s="93"/>
      <c r="L80" s="86"/>
      <c r="M80" s="93">
        <f t="shared" si="3"/>
        <v>0</v>
      </c>
      <c r="N80" s="185" t="s">
        <v>529</v>
      </c>
    </row>
    <row r="81" spans="1:14" ht="18" customHeight="1" x14ac:dyDescent="0.3">
      <c r="A81" s="61" t="s">
        <v>550</v>
      </c>
      <c r="C81" s="93"/>
      <c r="D81" s="86"/>
      <c r="E81" s="93"/>
      <c r="F81" s="86"/>
      <c r="G81" s="93"/>
      <c r="H81" s="86"/>
      <c r="I81" s="93"/>
      <c r="J81" s="86"/>
      <c r="K81" s="93"/>
      <c r="L81" s="86"/>
      <c r="M81" s="93">
        <f t="shared" si="3"/>
        <v>0</v>
      </c>
      <c r="N81" s="185" t="s">
        <v>547</v>
      </c>
    </row>
    <row r="82" spans="1:14" ht="18" customHeight="1" x14ac:dyDescent="0.3">
      <c r="A82" s="61" t="s">
        <v>551</v>
      </c>
      <c r="C82" s="93"/>
      <c r="D82" s="86"/>
      <c r="E82" s="93"/>
      <c r="F82" s="86"/>
      <c r="G82" s="93"/>
      <c r="H82" s="86"/>
      <c r="I82" s="93"/>
      <c r="J82" s="86"/>
      <c r="K82" s="93"/>
      <c r="L82" s="86"/>
      <c r="M82" s="93">
        <f t="shared" si="3"/>
        <v>0</v>
      </c>
      <c r="N82" s="185" t="s">
        <v>547</v>
      </c>
    </row>
    <row r="83" spans="1:14" ht="18" customHeight="1" x14ac:dyDescent="0.3">
      <c r="A83" s="61" t="s">
        <v>552</v>
      </c>
      <c r="C83" s="94"/>
      <c r="D83" s="86"/>
      <c r="E83" s="94"/>
      <c r="F83" s="86"/>
      <c r="G83" s="94"/>
      <c r="H83" s="86"/>
      <c r="I83" s="85"/>
      <c r="J83" s="86"/>
      <c r="K83" s="85"/>
      <c r="L83" s="86"/>
      <c r="M83" s="93">
        <f t="shared" si="3"/>
        <v>0</v>
      </c>
      <c r="N83" s="185" t="s">
        <v>547</v>
      </c>
    </row>
    <row r="84" spans="1:14" ht="18" customHeight="1" x14ac:dyDescent="0.3">
      <c r="A84" s="61" t="s">
        <v>553</v>
      </c>
      <c r="C84" s="85"/>
      <c r="D84" s="85"/>
      <c r="E84" s="85"/>
      <c r="F84" s="85"/>
      <c r="G84" s="85"/>
      <c r="H84" s="85"/>
      <c r="I84" s="85"/>
      <c r="J84" s="85"/>
      <c r="K84" s="85"/>
      <c r="L84" s="85"/>
      <c r="M84" s="85"/>
      <c r="N84" s="206"/>
    </row>
    <row r="85" spans="1:14" ht="18" customHeight="1" x14ac:dyDescent="0.3">
      <c r="A85" s="61" t="s">
        <v>554</v>
      </c>
      <c r="C85" s="93"/>
      <c r="D85" s="86"/>
      <c r="E85" s="93"/>
      <c r="F85" s="86"/>
      <c r="G85" s="93"/>
      <c r="H85" s="86"/>
      <c r="I85" s="93"/>
      <c r="J85" s="86"/>
      <c r="K85" s="93"/>
      <c r="L85" s="86"/>
      <c r="M85" s="93">
        <f t="shared" ref="M85:M95" si="4">+C85-E85+G85</f>
        <v>0</v>
      </c>
      <c r="N85" s="185" t="s">
        <v>547</v>
      </c>
    </row>
    <row r="86" spans="1:14" ht="18" customHeight="1" x14ac:dyDescent="0.3">
      <c r="A86" s="61" t="s">
        <v>555</v>
      </c>
      <c r="C86" s="93"/>
      <c r="D86" s="86"/>
      <c r="E86" s="93"/>
      <c r="F86" s="86"/>
      <c r="G86" s="93"/>
      <c r="H86" s="86"/>
      <c r="I86" s="93"/>
      <c r="J86" s="86"/>
      <c r="K86" s="93"/>
      <c r="L86" s="86"/>
      <c r="M86" s="93">
        <f t="shared" si="4"/>
        <v>0</v>
      </c>
      <c r="N86" s="185" t="s">
        <v>547</v>
      </c>
    </row>
    <row r="87" spans="1:14" ht="18" customHeight="1" x14ac:dyDescent="0.3">
      <c r="A87" s="61" t="s">
        <v>556</v>
      </c>
      <c r="C87" s="93"/>
      <c r="D87" s="86"/>
      <c r="E87" s="93"/>
      <c r="F87" s="86"/>
      <c r="G87" s="93"/>
      <c r="H87" s="86"/>
      <c r="I87" s="93"/>
      <c r="J87" s="86"/>
      <c r="K87" s="93"/>
      <c r="L87" s="86"/>
      <c r="M87" s="93">
        <f t="shared" si="4"/>
        <v>0</v>
      </c>
      <c r="N87" s="185" t="s">
        <v>547</v>
      </c>
    </row>
    <row r="88" spans="1:14" ht="18" customHeight="1" x14ac:dyDescent="0.3">
      <c r="A88" s="61" t="s">
        <v>557</v>
      </c>
      <c r="C88" s="93"/>
      <c r="D88" s="86"/>
      <c r="E88" s="93"/>
      <c r="F88" s="86"/>
      <c r="G88" s="93"/>
      <c r="H88" s="86"/>
      <c r="I88" s="93"/>
      <c r="J88" s="86"/>
      <c r="K88" s="93"/>
      <c r="L88" s="86"/>
      <c r="M88" s="93">
        <f t="shared" si="4"/>
        <v>0</v>
      </c>
      <c r="N88" s="185" t="s">
        <v>547</v>
      </c>
    </row>
    <row r="89" spans="1:14" ht="18" customHeight="1" x14ac:dyDescent="0.3">
      <c r="A89" s="61" t="s">
        <v>558</v>
      </c>
      <c r="C89" s="93"/>
      <c r="D89" s="86"/>
      <c r="E89" s="93"/>
      <c r="F89" s="86"/>
      <c r="G89" s="93"/>
      <c r="H89" s="86"/>
      <c r="I89" s="93"/>
      <c r="J89" s="86"/>
      <c r="K89" s="93"/>
      <c r="L89" s="86"/>
      <c r="M89" s="93">
        <f t="shared" si="4"/>
        <v>0</v>
      </c>
      <c r="N89" s="185" t="s">
        <v>547</v>
      </c>
    </row>
    <row r="90" spans="1:14" ht="18" customHeight="1" x14ac:dyDescent="0.3">
      <c r="A90" s="61" t="s">
        <v>559</v>
      </c>
      <c r="C90" s="93"/>
      <c r="D90" s="86"/>
      <c r="E90" s="93"/>
      <c r="F90" s="86"/>
      <c r="G90" s="93"/>
      <c r="H90" s="86"/>
      <c r="I90" s="93"/>
      <c r="J90" s="86"/>
      <c r="K90" s="93"/>
      <c r="L90" s="86"/>
      <c r="M90" s="93">
        <f t="shared" si="4"/>
        <v>0</v>
      </c>
      <c r="N90" s="185" t="s">
        <v>547</v>
      </c>
    </row>
    <row r="91" spans="1:14" ht="18" customHeight="1" x14ac:dyDescent="0.3">
      <c r="A91" s="61" t="s">
        <v>560</v>
      </c>
      <c r="C91" s="94"/>
      <c r="D91" s="86"/>
      <c r="E91" s="94"/>
      <c r="F91" s="86"/>
      <c r="G91" s="94"/>
      <c r="H91" s="86"/>
      <c r="I91" s="93"/>
      <c r="J91" s="86"/>
      <c r="K91" s="93"/>
      <c r="L91" s="86"/>
      <c r="M91" s="93">
        <f t="shared" si="4"/>
        <v>0</v>
      </c>
      <c r="N91" s="185" t="s">
        <v>547</v>
      </c>
    </row>
    <row r="92" spans="1:14" ht="18" customHeight="1" x14ac:dyDescent="0.3">
      <c r="A92" s="61" t="s">
        <v>561</v>
      </c>
      <c r="C92" s="94"/>
      <c r="D92" s="85"/>
      <c r="E92" s="94"/>
      <c r="F92" s="85"/>
      <c r="G92" s="94"/>
      <c r="H92" s="86"/>
      <c r="I92" s="93"/>
      <c r="J92" s="86"/>
      <c r="K92" s="93"/>
      <c r="L92" s="86"/>
      <c r="M92" s="93">
        <f t="shared" si="4"/>
        <v>0</v>
      </c>
      <c r="N92" s="185" t="s">
        <v>562</v>
      </c>
    </row>
    <row r="93" spans="1:14" ht="18" customHeight="1" x14ac:dyDescent="0.3">
      <c r="A93" s="61" t="s">
        <v>563</v>
      </c>
      <c r="C93" s="93"/>
      <c r="D93" s="85"/>
      <c r="E93" s="93"/>
      <c r="F93" s="85"/>
      <c r="G93" s="93"/>
      <c r="H93" s="86"/>
      <c r="I93" s="93"/>
      <c r="J93" s="86"/>
      <c r="K93" s="93"/>
      <c r="L93" s="86"/>
      <c r="M93" s="93">
        <f t="shared" si="4"/>
        <v>0</v>
      </c>
      <c r="N93" s="185" t="s">
        <v>564</v>
      </c>
    </row>
    <row r="94" spans="1:14" ht="18" customHeight="1" x14ac:dyDescent="0.3">
      <c r="A94" s="61" t="s">
        <v>565</v>
      </c>
      <c r="C94" s="93"/>
      <c r="D94" s="86"/>
      <c r="E94" s="93"/>
      <c r="F94" s="86"/>
      <c r="G94" s="93"/>
      <c r="H94" s="86"/>
      <c r="I94" s="93"/>
      <c r="J94" s="86"/>
      <c r="K94" s="93"/>
      <c r="L94" s="86"/>
      <c r="M94" s="93">
        <f t="shared" si="4"/>
        <v>0</v>
      </c>
      <c r="N94" s="185" t="s">
        <v>566</v>
      </c>
    </row>
    <row r="95" spans="1:14" ht="18" customHeight="1" x14ac:dyDescent="0.3">
      <c r="A95" s="61" t="s">
        <v>567</v>
      </c>
      <c r="C95" s="93"/>
      <c r="D95" s="86"/>
      <c r="E95" s="93"/>
      <c r="F95" s="86"/>
      <c r="G95" s="93"/>
      <c r="H95" s="86"/>
      <c r="I95" s="93"/>
      <c r="J95" s="86"/>
      <c r="K95" s="93"/>
      <c r="L95" s="86"/>
      <c r="M95" s="93">
        <f t="shared" si="4"/>
        <v>0</v>
      </c>
      <c r="N95" s="185" t="s">
        <v>568</v>
      </c>
    </row>
    <row r="96" spans="1:14" ht="18" customHeight="1" x14ac:dyDescent="0.3">
      <c r="C96" s="85"/>
      <c r="D96" s="86"/>
      <c r="E96" s="85"/>
      <c r="F96" s="86"/>
      <c r="G96" s="85"/>
      <c r="H96" s="86"/>
      <c r="I96" s="85"/>
      <c r="J96" s="86"/>
      <c r="K96" s="85"/>
      <c r="L96" s="86"/>
      <c r="M96" s="85"/>
    </row>
    <row r="97" spans="1:14" ht="18" customHeight="1" x14ac:dyDescent="0.3">
      <c r="A97" s="61" t="s">
        <v>569</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570</v>
      </c>
      <c r="C99" s="86"/>
      <c r="D99" s="86"/>
      <c r="E99" s="86"/>
      <c r="F99" s="86"/>
      <c r="G99" s="86"/>
      <c r="H99" s="86"/>
      <c r="I99" s="86"/>
      <c r="J99" s="86"/>
      <c r="K99" s="86"/>
      <c r="L99" s="86"/>
      <c r="M99" s="86"/>
    </row>
    <row r="100" spans="1:14" ht="18" customHeight="1" x14ac:dyDescent="0.3">
      <c r="A100" s="61" t="s">
        <v>571</v>
      </c>
      <c r="C100" s="93"/>
      <c r="D100" s="86"/>
      <c r="E100" s="93"/>
      <c r="F100" s="86"/>
      <c r="G100" s="93"/>
      <c r="H100" s="86"/>
      <c r="I100" s="93"/>
      <c r="J100" s="86"/>
      <c r="K100" s="93"/>
      <c r="L100" s="86"/>
      <c r="M100" s="93">
        <f>+C100-E100+G100</f>
        <v>0</v>
      </c>
      <c r="N100" s="185" t="s">
        <v>572</v>
      </c>
    </row>
    <row r="101" spans="1:14" ht="18" customHeight="1" x14ac:dyDescent="0.3">
      <c r="A101" s="61" t="s">
        <v>573</v>
      </c>
      <c r="C101" s="93"/>
      <c r="D101" s="86"/>
      <c r="E101" s="93"/>
      <c r="F101" s="86"/>
      <c r="G101" s="93"/>
      <c r="H101" s="86"/>
      <c r="I101" s="93"/>
      <c r="J101" s="86"/>
      <c r="K101" s="93"/>
      <c r="L101" s="86"/>
      <c r="M101" s="93">
        <f>+C101-E101+G101</f>
        <v>0</v>
      </c>
      <c r="N101" s="185" t="s">
        <v>572</v>
      </c>
    </row>
    <row r="102" spans="1:14" ht="18" customHeight="1" x14ac:dyDescent="0.3">
      <c r="A102" s="61" t="s">
        <v>574</v>
      </c>
      <c r="C102" s="93"/>
      <c r="D102" s="86"/>
      <c r="E102" s="93"/>
      <c r="F102" s="86"/>
      <c r="G102" s="93"/>
      <c r="H102" s="86"/>
      <c r="I102" s="93"/>
      <c r="J102" s="86"/>
      <c r="K102" s="93"/>
      <c r="L102" s="86"/>
      <c r="M102" s="93">
        <f>+C102-E102+G102</f>
        <v>0</v>
      </c>
      <c r="N102" s="185" t="s">
        <v>572</v>
      </c>
    </row>
    <row r="103" spans="1:14" ht="18" customHeight="1" x14ac:dyDescent="0.3">
      <c r="A103" s="61" t="s">
        <v>575</v>
      </c>
      <c r="C103" s="93"/>
      <c r="D103" s="86"/>
      <c r="E103" s="93"/>
      <c r="F103" s="86"/>
      <c r="G103" s="93"/>
      <c r="H103" s="86"/>
      <c r="I103" s="93"/>
      <c r="J103" s="86"/>
      <c r="K103" s="93"/>
      <c r="L103" s="86"/>
      <c r="M103" s="93">
        <f>+C103-E103+G103</f>
        <v>0</v>
      </c>
      <c r="N103" s="185" t="s">
        <v>572</v>
      </c>
    </row>
    <row r="104" spans="1:14" ht="18" customHeight="1" x14ac:dyDescent="0.3">
      <c r="C104" s="85"/>
      <c r="D104" s="86"/>
      <c r="E104" s="85"/>
      <c r="F104" s="86"/>
      <c r="G104" s="85"/>
      <c r="H104" s="86"/>
      <c r="I104" s="85"/>
      <c r="J104" s="86"/>
      <c r="K104" s="85"/>
      <c r="L104" s="86"/>
      <c r="M104" s="85"/>
    </row>
    <row r="105" spans="1:14" ht="18" customHeight="1" x14ac:dyDescent="0.3">
      <c r="A105" s="61" t="s">
        <v>576</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577</v>
      </c>
      <c r="C107" s="85"/>
      <c r="D107" s="85"/>
      <c r="E107" s="85"/>
      <c r="F107" s="85"/>
      <c r="G107" s="85"/>
      <c r="H107" s="85"/>
      <c r="I107" s="85"/>
      <c r="J107" s="85"/>
      <c r="K107" s="85"/>
      <c r="L107" s="85"/>
      <c r="M107" s="85"/>
    </row>
    <row r="108" spans="1:14" ht="18" customHeight="1" x14ac:dyDescent="0.3">
      <c r="A108" s="61" t="s">
        <v>578</v>
      </c>
      <c r="C108" s="93"/>
      <c r="D108" s="86"/>
      <c r="E108" s="93"/>
      <c r="F108" s="86"/>
      <c r="G108" s="93"/>
      <c r="H108" s="86"/>
      <c r="I108" s="93"/>
      <c r="J108" s="86"/>
      <c r="K108" s="93"/>
      <c r="L108" s="86"/>
      <c r="M108" s="93">
        <f>+C108-E108+G108</f>
        <v>0</v>
      </c>
      <c r="N108" s="185" t="s">
        <v>579</v>
      </c>
    </row>
    <row r="109" spans="1:14" ht="18" customHeight="1" x14ac:dyDescent="0.3">
      <c r="A109" s="61" t="s">
        <v>580</v>
      </c>
      <c r="C109" s="93"/>
      <c r="D109" s="86"/>
      <c r="E109" s="93"/>
      <c r="F109" s="86"/>
      <c r="G109" s="93"/>
      <c r="H109" s="86"/>
      <c r="I109" s="93"/>
      <c r="J109" s="86"/>
      <c r="K109" s="93"/>
      <c r="L109" s="86"/>
      <c r="M109" s="93">
        <f>+C109-E109+G109</f>
        <v>0</v>
      </c>
      <c r="N109" s="185" t="s">
        <v>480</v>
      </c>
    </row>
    <row r="110" spans="1:14" ht="18" customHeight="1" x14ac:dyDescent="0.3">
      <c r="A110" s="61" t="s">
        <v>581</v>
      </c>
      <c r="C110" s="93"/>
      <c r="D110" s="86"/>
      <c r="E110" s="93"/>
      <c r="F110" s="86"/>
      <c r="G110" s="93"/>
      <c r="H110" s="86"/>
      <c r="I110" s="93"/>
      <c r="J110" s="86"/>
      <c r="K110" s="93"/>
      <c r="L110" s="86"/>
      <c r="M110" s="93">
        <f>+C110-E110+G110</f>
        <v>0</v>
      </c>
      <c r="N110" s="185" t="s">
        <v>582</v>
      </c>
    </row>
    <row r="111" spans="1:14" ht="18" customHeight="1" x14ac:dyDescent="0.3">
      <c r="A111" s="61" t="s">
        <v>583</v>
      </c>
      <c r="C111" s="93"/>
      <c r="D111" s="86"/>
      <c r="E111" s="93"/>
      <c r="F111" s="86"/>
      <c r="G111" s="93"/>
      <c r="H111" s="86"/>
      <c r="I111" s="93"/>
      <c r="J111" s="86"/>
      <c r="K111" s="93"/>
      <c r="L111" s="86"/>
      <c r="M111" s="93">
        <f>+C111-E111+G111</f>
        <v>0</v>
      </c>
      <c r="N111" s="185" t="s">
        <v>584</v>
      </c>
    </row>
    <row r="112" spans="1:14" ht="18" customHeight="1" x14ac:dyDescent="0.3">
      <c r="A112" s="61" t="s">
        <v>585</v>
      </c>
      <c r="C112" s="86"/>
      <c r="D112" s="86"/>
      <c r="E112" s="86"/>
      <c r="F112" s="86"/>
      <c r="G112" s="86"/>
      <c r="H112" s="86"/>
      <c r="I112" s="86"/>
      <c r="J112" s="86"/>
      <c r="K112" s="86"/>
      <c r="L112" s="86"/>
      <c r="M112" s="86"/>
    </row>
    <row r="113" spans="1:17" ht="18" customHeight="1" x14ac:dyDescent="0.3">
      <c r="A113" s="61" t="s">
        <v>586</v>
      </c>
      <c r="C113" s="93"/>
      <c r="D113" s="86"/>
      <c r="E113" s="93"/>
      <c r="F113" s="86"/>
      <c r="G113" s="93"/>
      <c r="H113" s="86"/>
      <c r="I113" s="93"/>
      <c r="J113" s="86"/>
      <c r="K113" s="93"/>
      <c r="L113" s="86"/>
      <c r="M113" s="93">
        <f>+C113-E113+G113</f>
        <v>0</v>
      </c>
      <c r="N113" s="185" t="s">
        <v>587</v>
      </c>
    </row>
    <row r="114" spans="1:17" ht="18" customHeight="1" x14ac:dyDescent="0.3">
      <c r="A114" s="61" t="s">
        <v>588</v>
      </c>
      <c r="C114" s="93"/>
      <c r="D114" s="86"/>
      <c r="E114" s="93"/>
      <c r="F114" s="86"/>
      <c r="G114" s="93"/>
      <c r="H114" s="86"/>
      <c r="I114" s="93"/>
      <c r="J114" s="86"/>
      <c r="K114" s="93"/>
      <c r="L114" s="86"/>
      <c r="M114" s="93">
        <f>+C114-E114+G114</f>
        <v>0</v>
      </c>
      <c r="N114" s="185" t="s">
        <v>587</v>
      </c>
    </row>
    <row r="115" spans="1:17" ht="18" customHeight="1" x14ac:dyDescent="0.3">
      <c r="C115" s="85"/>
      <c r="D115" s="86"/>
      <c r="E115" s="85"/>
      <c r="F115" s="86"/>
      <c r="G115" s="85"/>
      <c r="H115" s="86"/>
      <c r="I115" s="85"/>
      <c r="J115" s="86"/>
      <c r="K115" s="85"/>
      <c r="L115" s="86"/>
      <c r="M115" s="85"/>
    </row>
    <row r="116" spans="1:17" ht="18" customHeight="1" x14ac:dyDescent="0.3">
      <c r="A116" s="61" t="s">
        <v>589</v>
      </c>
      <c r="C116" s="89">
        <f>SUM(C108:C114)</f>
        <v>0</v>
      </c>
      <c r="D116" s="85"/>
      <c r="E116" s="89">
        <f>SUM(E108:E114)</f>
        <v>0</v>
      </c>
      <c r="F116" s="85"/>
      <c r="G116" s="89">
        <f>SUM(G108:G114)</f>
        <v>0</v>
      </c>
      <c r="H116" s="85"/>
      <c r="I116" s="85"/>
      <c r="J116" s="85"/>
      <c r="K116" s="85"/>
      <c r="L116" s="85"/>
      <c r="M116" s="89">
        <f>SUM(M108:M114)</f>
        <v>0</v>
      </c>
      <c r="N116" s="206"/>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590</v>
      </c>
      <c r="C121" s="91"/>
      <c r="D121" s="91"/>
      <c r="E121" s="91"/>
      <c r="F121" s="91"/>
      <c r="G121" s="91"/>
      <c r="H121" s="91"/>
      <c r="I121" s="91"/>
      <c r="J121" s="91"/>
      <c r="K121" s="91"/>
      <c r="L121" s="91"/>
      <c r="M121" s="91"/>
      <c r="N121" s="206"/>
    </row>
    <row r="122" spans="1:17" ht="18" customHeight="1" x14ac:dyDescent="0.3">
      <c r="A122" s="61" t="s">
        <v>591</v>
      </c>
      <c r="C122" s="86"/>
      <c r="D122" s="86"/>
      <c r="E122" s="86"/>
      <c r="F122" s="86"/>
      <c r="G122" s="86"/>
      <c r="H122" s="86"/>
      <c r="I122" s="86"/>
      <c r="J122" s="86"/>
      <c r="K122" s="86"/>
      <c r="L122" s="86"/>
      <c r="M122" s="86"/>
    </row>
    <row r="123" spans="1:17" ht="18" customHeight="1" x14ac:dyDescent="0.3">
      <c r="A123" s="58" t="s">
        <v>757</v>
      </c>
      <c r="C123" s="93"/>
      <c r="D123" s="86"/>
      <c r="E123" s="214">
        <f>Reconciliations!C22</f>
        <v>17283.257058840285</v>
      </c>
      <c r="F123" s="86" t="s">
        <v>135</v>
      </c>
      <c r="G123" s="214">
        <f>Reconciliations!D22</f>
        <v>0</v>
      </c>
      <c r="H123" s="86" t="s">
        <v>135</v>
      </c>
      <c r="I123" s="93"/>
      <c r="J123" s="86"/>
      <c r="K123" s="93"/>
      <c r="L123" s="86"/>
      <c r="M123" s="93">
        <f>+C123+E123+E124+E125-G123-G124-G125</f>
        <v>15922.517058840287</v>
      </c>
      <c r="N123" s="216" t="s">
        <v>137</v>
      </c>
    </row>
    <row r="124" spans="1:17" ht="18" customHeight="1" x14ac:dyDescent="0.3">
      <c r="A124" s="73"/>
      <c r="C124" s="85"/>
      <c r="D124" s="86"/>
      <c r="E124" s="214">
        <f>Reconciliations!C38</f>
        <v>30238.980000000003</v>
      </c>
      <c r="F124" s="86" t="s">
        <v>140</v>
      </c>
      <c r="G124" s="214">
        <f>Reconciliations!D38</f>
        <v>0</v>
      </c>
      <c r="H124" s="86" t="s">
        <v>140</v>
      </c>
      <c r="I124" s="93"/>
      <c r="J124" s="86"/>
      <c r="K124" s="93"/>
      <c r="L124" s="86"/>
      <c r="M124" s="85"/>
    </row>
    <row r="125" spans="1:17" ht="18" customHeight="1" x14ac:dyDescent="0.3">
      <c r="A125" s="73"/>
      <c r="C125" s="85"/>
      <c r="D125" s="86"/>
      <c r="E125" s="214">
        <f>Reconciliations!C52</f>
        <v>0</v>
      </c>
      <c r="F125" s="86" t="s">
        <v>142</v>
      </c>
      <c r="G125" s="214">
        <f>Reconciliations!D52</f>
        <v>31599.719999999998</v>
      </c>
      <c r="H125" s="86" t="s">
        <v>142</v>
      </c>
      <c r="I125" s="93"/>
      <c r="J125" s="86"/>
      <c r="K125" s="93"/>
      <c r="L125" s="86"/>
      <c r="M125" s="85"/>
    </row>
    <row r="126" spans="1:17" ht="18" customHeight="1" x14ac:dyDescent="0.3">
      <c r="A126" s="61" t="s">
        <v>592</v>
      </c>
      <c r="C126" s="93"/>
      <c r="D126" s="86"/>
      <c r="E126" s="93"/>
      <c r="F126" s="86"/>
      <c r="G126" s="93"/>
      <c r="H126" s="86"/>
      <c r="I126" s="93"/>
      <c r="J126" s="86"/>
      <c r="K126" s="93"/>
      <c r="L126" s="86"/>
      <c r="M126" s="93">
        <f>+C126+E126-G126</f>
        <v>0</v>
      </c>
    </row>
    <row r="127" spans="1:17" ht="18" customHeight="1" x14ac:dyDescent="0.3">
      <c r="A127" s="61" t="s">
        <v>593</v>
      </c>
      <c r="C127" s="93"/>
      <c r="D127" s="86"/>
      <c r="E127" s="93"/>
      <c r="F127" s="86"/>
      <c r="G127" s="93"/>
      <c r="H127" s="86"/>
      <c r="I127" s="93"/>
      <c r="J127" s="86"/>
      <c r="K127" s="93"/>
      <c r="L127" s="86"/>
      <c r="M127" s="93">
        <f>+C127+E127-G127</f>
        <v>0</v>
      </c>
    </row>
    <row r="128" spans="1:17" ht="18" customHeight="1" x14ac:dyDescent="0.3">
      <c r="A128" s="61" t="s">
        <v>594</v>
      </c>
      <c r="C128" s="93"/>
      <c r="D128" s="86"/>
      <c r="E128" s="93"/>
      <c r="F128" s="86"/>
      <c r="G128" s="93"/>
      <c r="H128" s="86"/>
      <c r="I128" s="93"/>
      <c r="J128" s="86"/>
      <c r="K128" s="93"/>
      <c r="L128" s="86"/>
      <c r="M128" s="93">
        <f>+C128+E128-G128</f>
        <v>0</v>
      </c>
    </row>
    <row r="129" spans="1:13" ht="18" customHeight="1" x14ac:dyDescent="0.3">
      <c r="A129" s="61" t="s">
        <v>595</v>
      </c>
      <c r="C129" s="86"/>
      <c r="D129" s="86"/>
      <c r="E129" s="86"/>
      <c r="F129" s="86"/>
      <c r="G129" s="86"/>
      <c r="H129" s="86"/>
      <c r="I129" s="86"/>
      <c r="J129" s="86"/>
      <c r="K129" s="86"/>
      <c r="L129" s="86"/>
      <c r="M129" s="86"/>
    </row>
    <row r="130" spans="1:13" ht="18" customHeight="1" x14ac:dyDescent="0.3">
      <c r="A130" s="61" t="s">
        <v>596</v>
      </c>
      <c r="C130" s="93"/>
      <c r="D130" s="86"/>
      <c r="E130" s="93"/>
      <c r="F130" s="86"/>
      <c r="G130" s="93"/>
      <c r="H130" s="86"/>
      <c r="I130" s="93"/>
      <c r="J130" s="86"/>
      <c r="K130" s="93"/>
      <c r="L130" s="86"/>
      <c r="M130" s="93">
        <f>+C130+E130-G130</f>
        <v>0</v>
      </c>
    </row>
    <row r="131" spans="1:13" ht="18" customHeight="1" x14ac:dyDescent="0.3">
      <c r="A131" s="61" t="s">
        <v>597</v>
      </c>
      <c r="C131" s="93"/>
      <c r="D131" s="86"/>
      <c r="E131" s="93"/>
      <c r="F131" s="86"/>
      <c r="G131" s="93"/>
      <c r="H131" s="86"/>
      <c r="I131" s="93"/>
      <c r="J131" s="86"/>
      <c r="K131" s="93"/>
      <c r="L131" s="86"/>
      <c r="M131" s="93">
        <f>+C131+E131-G131</f>
        <v>0</v>
      </c>
    </row>
    <row r="132" spans="1:13" ht="18" customHeight="1" x14ac:dyDescent="0.3">
      <c r="A132" s="61" t="s">
        <v>598</v>
      </c>
      <c r="C132" s="93"/>
      <c r="D132" s="86"/>
      <c r="E132" s="93"/>
      <c r="F132" s="86"/>
      <c r="G132" s="93"/>
      <c r="H132" s="86"/>
      <c r="I132" s="93"/>
      <c r="J132" s="86"/>
      <c r="K132" s="93"/>
      <c r="L132" s="86"/>
      <c r="M132" s="93">
        <f>+C132+E132-G132</f>
        <v>0</v>
      </c>
    </row>
    <row r="133" spans="1:13" ht="18" customHeight="1" x14ac:dyDescent="0.3">
      <c r="A133" s="61" t="s">
        <v>599</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600</v>
      </c>
      <c r="C135" s="86"/>
      <c r="D135" s="86"/>
      <c r="E135" s="86"/>
      <c r="F135" s="86"/>
      <c r="G135" s="86"/>
      <c r="H135" s="86"/>
      <c r="I135" s="86"/>
      <c r="J135" s="86"/>
      <c r="K135" s="86"/>
      <c r="L135" s="86"/>
      <c r="M135" s="86"/>
    </row>
    <row r="136" spans="1:13" ht="18" customHeight="1" x14ac:dyDescent="0.3">
      <c r="A136" s="61" t="s">
        <v>601</v>
      </c>
      <c r="C136" s="93"/>
      <c r="D136" s="86"/>
      <c r="E136" s="93"/>
      <c r="F136" s="86"/>
      <c r="G136" s="93"/>
      <c r="H136" s="86"/>
      <c r="I136" s="93"/>
      <c r="J136" s="86"/>
      <c r="K136" s="93"/>
      <c r="L136" s="86"/>
      <c r="M136" s="93">
        <f>+C136+E136-G136</f>
        <v>0</v>
      </c>
    </row>
    <row r="137" spans="1:13" ht="18" customHeight="1" x14ac:dyDescent="0.3">
      <c r="A137" s="61" t="s">
        <v>602</v>
      </c>
      <c r="C137" s="93"/>
      <c r="D137" s="86"/>
      <c r="E137" s="93"/>
      <c r="F137" s="86"/>
      <c r="G137" s="93"/>
      <c r="H137" s="86"/>
      <c r="I137" s="93"/>
      <c r="J137" s="86"/>
      <c r="K137" s="93"/>
      <c r="L137" s="86"/>
      <c r="M137" s="93">
        <f>+C137+E137-G137</f>
        <v>0</v>
      </c>
    </row>
    <row r="138" spans="1:13" ht="18" customHeight="1" x14ac:dyDescent="0.3">
      <c r="A138" s="61" t="s">
        <v>603</v>
      </c>
      <c r="C138" s="93"/>
      <c r="D138" s="86"/>
      <c r="E138" s="93"/>
      <c r="F138" s="86"/>
      <c r="G138" s="93"/>
      <c r="H138" s="86"/>
      <c r="I138" s="93"/>
      <c r="J138" s="86"/>
      <c r="K138" s="93"/>
      <c r="L138" s="86"/>
      <c r="M138" s="93">
        <f>+C138+E138-G138</f>
        <v>0</v>
      </c>
    </row>
    <row r="139" spans="1:13" ht="18" customHeight="1" x14ac:dyDescent="0.3">
      <c r="A139" s="61" t="s">
        <v>604</v>
      </c>
      <c r="C139" s="86"/>
      <c r="D139" s="86"/>
      <c r="E139" s="86"/>
      <c r="F139" s="86"/>
      <c r="G139" s="86"/>
      <c r="H139" s="86"/>
      <c r="I139" s="86"/>
      <c r="J139" s="86"/>
      <c r="K139" s="86"/>
      <c r="L139" s="86"/>
      <c r="M139" s="86"/>
    </row>
    <row r="140" spans="1:13" ht="18" customHeight="1" x14ac:dyDescent="0.3">
      <c r="A140" s="61" t="s">
        <v>605</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606</v>
      </c>
      <c r="C142" s="86"/>
      <c r="D142" s="86"/>
      <c r="E142" s="86"/>
      <c r="F142" s="86"/>
      <c r="G142" s="86"/>
      <c r="H142" s="86"/>
      <c r="I142" s="86"/>
      <c r="J142" s="86"/>
      <c r="K142" s="86"/>
      <c r="L142" s="86"/>
      <c r="M142" s="86"/>
    </row>
    <row r="143" spans="1:13" ht="18" customHeight="1" x14ac:dyDescent="0.3">
      <c r="A143" s="61" t="s">
        <v>607</v>
      </c>
      <c r="C143" s="93"/>
      <c r="D143" s="86"/>
      <c r="E143" s="93"/>
      <c r="F143" s="86"/>
      <c r="G143" s="93"/>
      <c r="H143" s="86"/>
      <c r="I143" s="93"/>
      <c r="J143" s="86"/>
      <c r="K143" s="93"/>
      <c r="L143" s="86"/>
      <c r="M143" s="93">
        <f t="shared" ref="M143:M154" si="5">+C143+E143-G143</f>
        <v>0</v>
      </c>
    </row>
    <row r="144" spans="1:13" ht="18" customHeight="1" x14ac:dyDescent="0.3">
      <c r="A144" s="61" t="s">
        <v>608</v>
      </c>
      <c r="C144" s="93"/>
      <c r="D144" s="86"/>
      <c r="E144" s="93"/>
      <c r="F144" s="86"/>
      <c r="G144" s="93"/>
      <c r="H144" s="86"/>
      <c r="I144" s="93"/>
      <c r="J144" s="86"/>
      <c r="K144" s="93"/>
      <c r="L144" s="86"/>
      <c r="M144" s="93">
        <f t="shared" si="5"/>
        <v>0</v>
      </c>
    </row>
    <row r="145" spans="1:14" ht="18" customHeight="1" x14ac:dyDescent="0.3">
      <c r="A145" s="61" t="s">
        <v>609</v>
      </c>
      <c r="C145" s="93"/>
      <c r="D145" s="86"/>
      <c r="E145" s="93"/>
      <c r="F145" s="86"/>
      <c r="G145" s="93"/>
      <c r="H145" s="86"/>
      <c r="I145" s="93"/>
      <c r="J145" s="86"/>
      <c r="K145" s="93"/>
      <c r="L145" s="86"/>
      <c r="M145" s="93">
        <f t="shared" si="5"/>
        <v>0</v>
      </c>
    </row>
    <row r="146" spans="1:14" ht="18" customHeight="1" x14ac:dyDescent="0.3">
      <c r="A146" s="61" t="s">
        <v>610</v>
      </c>
      <c r="C146" s="93"/>
      <c r="D146" s="86"/>
      <c r="E146" s="93"/>
      <c r="F146" s="86"/>
      <c r="G146" s="93"/>
      <c r="H146" s="86"/>
      <c r="I146" s="93"/>
      <c r="J146" s="86"/>
      <c r="K146" s="93"/>
      <c r="L146" s="86"/>
      <c r="M146" s="93">
        <f t="shared" si="5"/>
        <v>0</v>
      </c>
    </row>
    <row r="147" spans="1:14" ht="18" customHeight="1" x14ac:dyDescent="0.3">
      <c r="A147" s="61" t="s">
        <v>611</v>
      </c>
      <c r="C147" s="93"/>
      <c r="D147" s="86"/>
      <c r="E147" s="93"/>
      <c r="F147" s="86"/>
      <c r="G147" s="93"/>
      <c r="H147" s="86"/>
      <c r="I147" s="93"/>
      <c r="J147" s="86"/>
      <c r="K147" s="93"/>
      <c r="L147" s="86"/>
      <c r="M147" s="93">
        <f t="shared" si="5"/>
        <v>0</v>
      </c>
    </row>
    <row r="148" spans="1:14" ht="18" customHeight="1" x14ac:dyDescent="0.3">
      <c r="A148" s="61" t="s">
        <v>612</v>
      </c>
      <c r="C148" s="93"/>
      <c r="D148" s="86"/>
      <c r="E148" s="93"/>
      <c r="F148" s="86"/>
      <c r="G148" s="93"/>
      <c r="H148" s="86"/>
      <c r="I148" s="93"/>
      <c r="J148" s="86"/>
      <c r="K148" s="93"/>
      <c r="L148" s="86"/>
      <c r="M148" s="93">
        <f t="shared" si="5"/>
        <v>0</v>
      </c>
    </row>
    <row r="149" spans="1:14" ht="18" customHeight="1" x14ac:dyDescent="0.3">
      <c r="A149" s="61" t="s">
        <v>613</v>
      </c>
      <c r="C149" s="93"/>
      <c r="D149" s="86"/>
      <c r="E149" s="93"/>
      <c r="F149" s="86"/>
      <c r="G149" s="93"/>
      <c r="H149" s="86"/>
      <c r="I149" s="93"/>
      <c r="J149" s="86"/>
      <c r="K149" s="93"/>
      <c r="L149" s="86"/>
      <c r="M149" s="93">
        <f t="shared" si="5"/>
        <v>0</v>
      </c>
    </row>
    <row r="150" spans="1:14" ht="18" customHeight="1" x14ac:dyDescent="0.3">
      <c r="A150" s="61" t="s">
        <v>614</v>
      </c>
      <c r="C150" s="93"/>
      <c r="D150" s="86"/>
      <c r="E150" s="93"/>
      <c r="F150" s="86"/>
      <c r="G150" s="93"/>
      <c r="H150" s="86"/>
      <c r="I150" s="93"/>
      <c r="J150" s="86"/>
      <c r="K150" s="93"/>
      <c r="L150" s="86"/>
      <c r="M150" s="93">
        <f t="shared" si="5"/>
        <v>0</v>
      </c>
    </row>
    <row r="151" spans="1:14" ht="18" customHeight="1" x14ac:dyDescent="0.3">
      <c r="A151" s="61" t="s">
        <v>615</v>
      </c>
      <c r="C151" s="93"/>
      <c r="D151" s="86"/>
      <c r="E151" s="93"/>
      <c r="F151" s="86"/>
      <c r="G151" s="93"/>
      <c r="H151" s="86"/>
      <c r="I151" s="93"/>
      <c r="J151" s="86"/>
      <c r="K151" s="93"/>
      <c r="L151" s="86"/>
      <c r="M151" s="93">
        <f>+C151+E151-G151</f>
        <v>0</v>
      </c>
    </row>
    <row r="152" spans="1:14" ht="18" customHeight="1" x14ac:dyDescent="0.3">
      <c r="A152" s="61" t="s">
        <v>616</v>
      </c>
      <c r="C152" s="93"/>
      <c r="D152" s="86"/>
      <c r="E152" s="93"/>
      <c r="F152" s="86"/>
      <c r="G152" s="93"/>
      <c r="H152" s="86"/>
      <c r="I152" s="93"/>
      <c r="J152" s="86"/>
      <c r="K152" s="93"/>
      <c r="L152" s="86"/>
      <c r="M152" s="93">
        <f>+C152+E152-G152</f>
        <v>0</v>
      </c>
    </row>
    <row r="153" spans="1:14" ht="18" customHeight="1" x14ac:dyDescent="0.3">
      <c r="A153" s="61" t="s">
        <v>617</v>
      </c>
      <c r="C153" s="93"/>
      <c r="D153" s="86"/>
      <c r="E153" s="93"/>
      <c r="F153" s="86"/>
      <c r="G153" s="93"/>
      <c r="H153" s="86"/>
      <c r="I153" s="93"/>
      <c r="J153" s="86"/>
      <c r="K153" s="93"/>
      <c r="L153" s="86"/>
      <c r="M153" s="93">
        <f>+C153+E153-G153</f>
        <v>0</v>
      </c>
    </row>
    <row r="154" spans="1:14" ht="18" customHeight="1" x14ac:dyDescent="0.3">
      <c r="A154" s="61" t="s">
        <v>618</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619</v>
      </c>
      <c r="C156" s="89">
        <f>SUM(C123:C154)</f>
        <v>0</v>
      </c>
      <c r="D156" s="86"/>
      <c r="E156" s="89">
        <f>SUM(E123:E154)</f>
        <v>47522.237058840285</v>
      </c>
      <c r="F156" s="86"/>
      <c r="G156" s="89">
        <f>SUM(G123:G154)</f>
        <v>31599.719999999998</v>
      </c>
      <c r="H156" s="86"/>
      <c r="I156" s="89"/>
      <c r="J156" s="86"/>
      <c r="K156" s="89"/>
      <c r="L156" s="86"/>
      <c r="M156" s="89">
        <f>SUM(M123:M154)</f>
        <v>15922.517058840287</v>
      </c>
      <c r="N156" s="185" t="s">
        <v>344</v>
      </c>
    </row>
    <row r="157" spans="1:14" ht="18" customHeight="1" x14ac:dyDescent="0.3">
      <c r="C157" s="86"/>
      <c r="D157" s="86"/>
      <c r="E157" s="86"/>
      <c r="F157" s="86"/>
      <c r="G157" s="86"/>
      <c r="H157" s="86"/>
      <c r="I157" s="86"/>
      <c r="J157" s="86"/>
      <c r="K157" s="86"/>
      <c r="L157" s="86"/>
      <c r="M157" s="86"/>
    </row>
    <row r="158" spans="1:14" ht="18" customHeight="1" x14ac:dyDescent="0.3">
      <c r="A158" s="61" t="s">
        <v>620</v>
      </c>
      <c r="C158" s="86"/>
      <c r="D158" s="86"/>
      <c r="E158" s="86"/>
      <c r="F158" s="86"/>
      <c r="G158" s="86"/>
      <c r="H158" s="86"/>
      <c r="I158" s="86"/>
      <c r="J158" s="86"/>
      <c r="K158" s="86"/>
      <c r="L158" s="86"/>
      <c r="M158" s="86"/>
    </row>
    <row r="159" spans="1:14" ht="18" customHeight="1" x14ac:dyDescent="0.3">
      <c r="A159" s="61" t="s">
        <v>621</v>
      </c>
      <c r="C159" s="85"/>
      <c r="D159" s="85"/>
      <c r="E159" s="85"/>
      <c r="F159" s="85"/>
      <c r="G159" s="85"/>
      <c r="H159" s="85"/>
      <c r="I159" s="85"/>
      <c r="J159" s="85"/>
      <c r="K159" s="85"/>
      <c r="L159" s="85"/>
      <c r="M159" s="85"/>
    </row>
    <row r="160" spans="1:14" ht="18" customHeight="1" x14ac:dyDescent="0.3">
      <c r="A160" s="61" t="s">
        <v>622</v>
      </c>
      <c r="C160" s="93"/>
      <c r="D160" s="86"/>
      <c r="E160" s="93"/>
      <c r="F160" s="86"/>
      <c r="G160" s="93"/>
      <c r="H160" s="86"/>
      <c r="I160" s="93"/>
      <c r="J160" s="86"/>
      <c r="K160" s="93"/>
      <c r="L160" s="86"/>
      <c r="M160" s="93">
        <f t="shared" ref="M160:M165" si="6">+C160+E160-G160</f>
        <v>0</v>
      </c>
    </row>
    <row r="161" spans="1:14" ht="18" customHeight="1" x14ac:dyDescent="0.3">
      <c r="A161" s="61" t="s">
        <v>623</v>
      </c>
      <c r="C161" s="93"/>
      <c r="D161" s="86"/>
      <c r="E161" s="93"/>
      <c r="F161" s="86"/>
      <c r="G161" s="93"/>
      <c r="H161" s="86"/>
      <c r="I161" s="93"/>
      <c r="J161" s="86"/>
      <c r="K161" s="93"/>
      <c r="L161" s="86"/>
      <c r="M161" s="93">
        <f t="shared" si="6"/>
        <v>0</v>
      </c>
    </row>
    <row r="162" spans="1:14" ht="18" customHeight="1" x14ac:dyDescent="0.3">
      <c r="A162" s="61" t="s">
        <v>624</v>
      </c>
      <c r="C162" s="93"/>
      <c r="D162" s="86"/>
      <c r="E162" s="93"/>
      <c r="F162" s="86"/>
      <c r="G162" s="93"/>
      <c r="H162" s="86"/>
      <c r="I162" s="93"/>
      <c r="J162" s="86"/>
      <c r="K162" s="93"/>
      <c r="L162" s="86"/>
      <c r="M162" s="93">
        <f t="shared" si="6"/>
        <v>0</v>
      </c>
    </row>
    <row r="163" spans="1:14" ht="18" customHeight="1" x14ac:dyDescent="0.3">
      <c r="A163" s="61" t="s">
        <v>625</v>
      </c>
      <c r="C163" s="93"/>
      <c r="D163" s="86"/>
      <c r="E163" s="93"/>
      <c r="F163" s="86"/>
      <c r="G163" s="93"/>
      <c r="H163" s="86"/>
      <c r="I163" s="93"/>
      <c r="J163" s="86"/>
      <c r="K163" s="93"/>
      <c r="L163" s="86"/>
      <c r="M163" s="93">
        <f t="shared" si="6"/>
        <v>0</v>
      </c>
    </row>
    <row r="164" spans="1:14" ht="18" customHeight="1" x14ac:dyDescent="0.3">
      <c r="A164" s="61" t="s">
        <v>626</v>
      </c>
      <c r="C164" s="93"/>
      <c r="D164" s="86"/>
      <c r="E164" s="93"/>
      <c r="F164" s="86"/>
      <c r="G164" s="93"/>
      <c r="H164" s="86"/>
      <c r="I164" s="93"/>
      <c r="J164" s="86"/>
      <c r="K164" s="93"/>
      <c r="L164" s="86"/>
      <c r="M164" s="93">
        <f t="shared" si="6"/>
        <v>0</v>
      </c>
    </row>
    <row r="165" spans="1:14" ht="18" customHeight="1" x14ac:dyDescent="0.3">
      <c r="A165" s="61" t="s">
        <v>627</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628</v>
      </c>
      <c r="C167" s="86"/>
      <c r="D167" s="86"/>
      <c r="E167" s="86"/>
      <c r="F167" s="86"/>
      <c r="G167" s="86"/>
      <c r="H167" s="86"/>
      <c r="I167" s="86"/>
      <c r="J167" s="86"/>
      <c r="K167" s="86"/>
      <c r="L167" s="86"/>
      <c r="M167" s="86"/>
    </row>
    <row r="168" spans="1:14" ht="18" customHeight="1" x14ac:dyDescent="0.3">
      <c r="A168" s="61" t="s">
        <v>629</v>
      </c>
      <c r="C168" s="93"/>
      <c r="D168" s="86"/>
      <c r="E168" s="93"/>
      <c r="F168" s="86"/>
      <c r="G168" s="93"/>
      <c r="H168" s="86"/>
      <c r="I168" s="93"/>
      <c r="J168" s="86"/>
      <c r="K168" s="93"/>
      <c r="L168" s="86"/>
      <c r="M168" s="93">
        <f>+C168+E168-G168</f>
        <v>0</v>
      </c>
    </row>
    <row r="169" spans="1:14" ht="18" customHeight="1" x14ac:dyDescent="0.3">
      <c r="A169" s="61" t="s">
        <v>630</v>
      </c>
      <c r="C169" s="93"/>
      <c r="D169" s="86"/>
      <c r="E169" s="93"/>
      <c r="F169" s="86"/>
      <c r="G169" s="93"/>
      <c r="H169" s="86"/>
      <c r="I169" s="93"/>
      <c r="J169" s="86"/>
      <c r="K169" s="93"/>
      <c r="L169" s="86"/>
      <c r="M169" s="93">
        <f>+C169+E169-G169</f>
        <v>0</v>
      </c>
    </row>
    <row r="170" spans="1:14" ht="18" customHeight="1" x14ac:dyDescent="0.3">
      <c r="A170" s="61" t="s">
        <v>631</v>
      </c>
      <c r="C170" s="93"/>
      <c r="D170" s="86"/>
      <c r="E170" s="93"/>
      <c r="F170" s="86"/>
      <c r="G170" s="93"/>
      <c r="H170" s="86"/>
      <c r="I170" s="93"/>
      <c r="J170" s="86"/>
      <c r="K170" s="93"/>
      <c r="L170" s="86"/>
      <c r="M170" s="93">
        <f>+C170+E170-G170</f>
        <v>0</v>
      </c>
    </row>
    <row r="171" spans="1:14" ht="18" customHeight="1" x14ac:dyDescent="0.3">
      <c r="A171" s="61" t="s">
        <v>632</v>
      </c>
      <c r="C171" s="93"/>
      <c r="D171" s="86"/>
      <c r="E171" s="93"/>
      <c r="F171" s="86"/>
      <c r="G171" s="93"/>
      <c r="H171" s="86"/>
      <c r="I171" s="93"/>
      <c r="J171" s="86"/>
      <c r="K171" s="93"/>
      <c r="L171" s="86"/>
      <c r="M171" s="93">
        <f>+C171+E171-G171</f>
        <v>0</v>
      </c>
    </row>
    <row r="172" spans="1:14" ht="18" customHeight="1" x14ac:dyDescent="0.3">
      <c r="A172" s="61" t="s">
        <v>633</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634</v>
      </c>
      <c r="C174" s="89">
        <f>SUM(C160:C172)</f>
        <v>0</v>
      </c>
      <c r="D174" s="86"/>
      <c r="E174" s="89">
        <f>SUM(E160:E172)</f>
        <v>0</v>
      </c>
      <c r="F174" s="86"/>
      <c r="G174" s="89">
        <f>SUM(G160:G172)</f>
        <v>0</v>
      </c>
      <c r="H174" s="86"/>
      <c r="I174" s="89"/>
      <c r="J174" s="86"/>
      <c r="K174" s="89"/>
      <c r="L174" s="86"/>
      <c r="M174" s="89">
        <f>SUM(M160:M172)</f>
        <v>0</v>
      </c>
      <c r="N174" s="185" t="s">
        <v>345</v>
      </c>
    </row>
    <row r="175" spans="1:14" ht="18" customHeight="1" x14ac:dyDescent="0.3">
      <c r="C175" s="86"/>
      <c r="D175" s="86"/>
      <c r="E175" s="86"/>
      <c r="F175" s="86"/>
      <c r="G175" s="86"/>
      <c r="H175" s="86"/>
      <c r="I175" s="86"/>
      <c r="J175" s="86"/>
      <c r="K175" s="86"/>
      <c r="L175" s="86"/>
      <c r="M175" s="86"/>
    </row>
    <row r="176" spans="1:14" ht="18" customHeight="1" x14ac:dyDescent="0.3">
      <c r="A176" s="61" t="s">
        <v>635</v>
      </c>
      <c r="C176" s="86"/>
      <c r="D176" s="86"/>
      <c r="E176" s="86"/>
      <c r="F176" s="86"/>
      <c r="G176" s="86"/>
      <c r="H176" s="86"/>
      <c r="I176" s="86"/>
      <c r="J176" s="86"/>
      <c r="K176" s="86"/>
      <c r="L176" s="86"/>
      <c r="M176" s="86"/>
    </row>
    <row r="177" spans="1:14" ht="18" customHeight="1" x14ac:dyDescent="0.3">
      <c r="A177" s="61" t="s">
        <v>636</v>
      </c>
      <c r="C177" s="86"/>
      <c r="D177" s="86"/>
      <c r="E177" s="86"/>
      <c r="F177" s="86"/>
      <c r="G177" s="86"/>
      <c r="H177" s="86"/>
      <c r="I177" s="86"/>
      <c r="J177" s="86"/>
      <c r="K177" s="86"/>
      <c r="L177" s="86"/>
      <c r="M177" s="86"/>
    </row>
    <row r="178" spans="1:14" ht="18" customHeight="1" x14ac:dyDescent="0.3">
      <c r="A178" s="61" t="s">
        <v>637</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638</v>
      </c>
      <c r="C180" s="86"/>
      <c r="D180" s="86"/>
      <c r="E180" s="85"/>
      <c r="F180" s="85"/>
      <c r="G180" s="85"/>
      <c r="H180" s="86"/>
      <c r="I180" s="86"/>
      <c r="J180" s="86"/>
      <c r="K180" s="86"/>
      <c r="L180" s="86"/>
      <c r="M180" s="86"/>
    </row>
    <row r="181" spans="1:14" ht="18" customHeight="1" x14ac:dyDescent="0.3">
      <c r="A181" s="61" t="s">
        <v>639</v>
      </c>
      <c r="C181" s="93"/>
      <c r="D181" s="86"/>
      <c r="E181" s="93"/>
      <c r="F181" s="86"/>
      <c r="G181" s="93"/>
      <c r="H181" s="86"/>
      <c r="I181" s="93"/>
      <c r="J181" s="86"/>
      <c r="K181" s="93"/>
      <c r="L181" s="86"/>
      <c r="M181" s="93">
        <f>+C181+E181-G181</f>
        <v>0</v>
      </c>
    </row>
    <row r="182" spans="1:14" ht="18" customHeight="1" x14ac:dyDescent="0.3">
      <c r="A182" s="61" t="s">
        <v>640</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641</v>
      </c>
      <c r="C184" s="86"/>
      <c r="D184" s="86"/>
      <c r="E184" s="86"/>
      <c r="F184" s="86"/>
      <c r="G184" s="86"/>
      <c r="H184" s="86"/>
      <c r="I184" s="86"/>
      <c r="J184" s="86"/>
      <c r="K184" s="86"/>
      <c r="L184" s="86"/>
      <c r="M184" s="86"/>
    </row>
    <row r="185" spans="1:14" ht="18" customHeight="1" x14ac:dyDescent="0.3">
      <c r="A185" s="61" t="s">
        <v>642</v>
      </c>
      <c r="C185" s="93"/>
      <c r="D185" s="86"/>
      <c r="E185" s="93"/>
      <c r="F185" s="86"/>
      <c r="G185" s="93"/>
      <c r="H185" s="86"/>
      <c r="I185" s="93"/>
      <c r="J185" s="86"/>
      <c r="K185" s="93"/>
      <c r="L185" s="86"/>
      <c r="M185" s="93">
        <f>+C185+E185-G185</f>
        <v>0</v>
      </c>
    </row>
    <row r="186" spans="1:14" ht="18" customHeight="1" x14ac:dyDescent="0.3">
      <c r="A186" s="61" t="s">
        <v>643</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644</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645</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646</v>
      </c>
      <c r="C192" s="89">
        <f>SUM(C178:C190)</f>
        <v>0</v>
      </c>
      <c r="D192" s="86"/>
      <c r="E192" s="89">
        <f>SUM(E178:E190)</f>
        <v>0</v>
      </c>
      <c r="F192" s="86"/>
      <c r="G192" s="89">
        <f>SUM(G178:G190)</f>
        <v>0</v>
      </c>
      <c r="H192" s="86"/>
      <c r="I192" s="89"/>
      <c r="J192" s="86"/>
      <c r="K192" s="89"/>
      <c r="L192" s="86"/>
      <c r="M192" s="89">
        <f>SUM(M178:M190)</f>
        <v>0</v>
      </c>
      <c r="N192" s="185" t="s">
        <v>346</v>
      </c>
    </row>
    <row r="193" spans="1:13" ht="18" customHeight="1" x14ac:dyDescent="0.3">
      <c r="C193" s="86"/>
      <c r="D193" s="86"/>
      <c r="E193" s="86"/>
      <c r="F193" s="86"/>
      <c r="G193" s="86"/>
      <c r="H193" s="86"/>
      <c r="I193" s="86"/>
      <c r="J193" s="86"/>
      <c r="K193" s="86"/>
      <c r="L193" s="86"/>
      <c r="M193" s="86"/>
    </row>
    <row r="194" spans="1:13" ht="18" customHeight="1" x14ac:dyDescent="0.3">
      <c r="A194" s="61" t="s">
        <v>647</v>
      </c>
      <c r="C194" s="86"/>
      <c r="D194" s="86"/>
      <c r="E194" s="86"/>
      <c r="F194" s="86"/>
      <c r="G194" s="86"/>
      <c r="H194" s="86"/>
      <c r="I194" s="86"/>
      <c r="J194" s="86"/>
      <c r="K194" s="86"/>
      <c r="L194" s="86"/>
      <c r="M194" s="86"/>
    </row>
    <row r="195" spans="1:13" ht="18" customHeight="1" x14ac:dyDescent="0.3">
      <c r="A195" s="61" t="s">
        <v>648</v>
      </c>
      <c r="C195" s="86"/>
      <c r="D195" s="86"/>
      <c r="E195" s="86"/>
      <c r="F195" s="86"/>
      <c r="G195" s="86"/>
      <c r="H195" s="86"/>
      <c r="I195" s="86"/>
      <c r="J195" s="86"/>
      <c r="K195" s="86"/>
      <c r="L195" s="86"/>
      <c r="M195" s="86"/>
    </row>
    <row r="196" spans="1:13" ht="18" customHeight="1" x14ac:dyDescent="0.3">
      <c r="A196" s="61" t="s">
        <v>649</v>
      </c>
      <c r="C196" s="93"/>
      <c r="D196" s="86"/>
      <c r="E196" s="93"/>
      <c r="F196" s="86"/>
      <c r="G196" s="93"/>
      <c r="H196" s="86"/>
      <c r="I196" s="93"/>
      <c r="J196" s="86"/>
      <c r="K196" s="93"/>
      <c r="L196" s="86"/>
      <c r="M196" s="93">
        <f>+C196+E196-G196</f>
        <v>0</v>
      </c>
    </row>
    <row r="197" spans="1:13" ht="18" customHeight="1" x14ac:dyDescent="0.3">
      <c r="A197" s="61" t="s">
        <v>650</v>
      </c>
      <c r="C197" s="93"/>
      <c r="D197" s="86"/>
      <c r="E197" s="93"/>
      <c r="F197" s="86"/>
      <c r="G197" s="93"/>
      <c r="H197" s="86"/>
      <c r="I197" s="93"/>
      <c r="J197" s="86"/>
      <c r="K197" s="93"/>
      <c r="L197" s="86"/>
      <c r="M197" s="93">
        <f>+C197+E197-G197</f>
        <v>0</v>
      </c>
    </row>
    <row r="198" spans="1:13" ht="18" customHeight="1" x14ac:dyDescent="0.3">
      <c r="A198" s="61" t="s">
        <v>651</v>
      </c>
      <c r="C198" s="93"/>
      <c r="D198" s="86"/>
      <c r="E198" s="93"/>
      <c r="F198" s="86"/>
      <c r="G198" s="93"/>
      <c r="H198" s="86"/>
      <c r="I198" s="93"/>
      <c r="J198" s="86"/>
      <c r="K198" s="93"/>
      <c r="L198" s="86"/>
      <c r="M198" s="93">
        <f>+C198+E198-G198</f>
        <v>0</v>
      </c>
    </row>
    <row r="199" spans="1:13" ht="18" customHeight="1" x14ac:dyDescent="0.3">
      <c r="A199" s="61" t="s">
        <v>652</v>
      </c>
      <c r="C199" s="93"/>
      <c r="D199" s="86"/>
      <c r="E199" s="93"/>
      <c r="F199" s="86"/>
      <c r="G199" s="93"/>
      <c r="H199" s="86"/>
      <c r="I199" s="93"/>
      <c r="J199" s="86"/>
      <c r="K199" s="93"/>
      <c r="L199" s="86"/>
      <c r="M199" s="93">
        <f>+C199+E199-G199</f>
        <v>0</v>
      </c>
    </row>
    <row r="200" spans="1:13" ht="18" customHeight="1" x14ac:dyDescent="0.3">
      <c r="A200" s="61" t="s">
        <v>653</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654</v>
      </c>
      <c r="C202" s="86"/>
      <c r="D202" s="86"/>
      <c r="E202" s="86"/>
      <c r="F202" s="86"/>
      <c r="G202" s="86"/>
      <c r="H202" s="86"/>
      <c r="I202" s="86"/>
      <c r="J202" s="86"/>
      <c r="K202" s="86"/>
      <c r="L202" s="86"/>
      <c r="M202" s="86"/>
    </row>
    <row r="203" spans="1:13" ht="18" customHeight="1" x14ac:dyDescent="0.3">
      <c r="A203" s="61" t="s">
        <v>655</v>
      </c>
      <c r="C203" s="93"/>
      <c r="D203" s="86"/>
      <c r="E203" s="93"/>
      <c r="F203" s="86"/>
      <c r="G203" s="93"/>
      <c r="H203" s="86"/>
      <c r="I203" s="93"/>
      <c r="J203" s="86"/>
      <c r="K203" s="93"/>
      <c r="L203" s="86"/>
      <c r="M203" s="93">
        <f t="shared" ref="M203:M209" si="7">+C203+E203-G203</f>
        <v>0</v>
      </c>
    </row>
    <row r="204" spans="1:13" ht="18" customHeight="1" x14ac:dyDescent="0.3">
      <c r="A204" s="61" t="s">
        <v>656</v>
      </c>
      <c r="C204" s="93"/>
      <c r="D204" s="86"/>
      <c r="E204" s="93"/>
      <c r="F204" s="86"/>
      <c r="G204" s="93"/>
      <c r="H204" s="86"/>
      <c r="I204" s="93"/>
      <c r="J204" s="86"/>
      <c r="K204" s="93"/>
      <c r="L204" s="86"/>
      <c r="M204" s="93">
        <f t="shared" si="7"/>
        <v>0</v>
      </c>
    </row>
    <row r="205" spans="1:13" ht="18" customHeight="1" x14ac:dyDescent="0.3">
      <c r="A205" s="61" t="s">
        <v>657</v>
      </c>
      <c r="C205" s="93"/>
      <c r="D205" s="86"/>
      <c r="E205" s="93"/>
      <c r="F205" s="86"/>
      <c r="G205" s="93"/>
      <c r="H205" s="86"/>
      <c r="I205" s="93"/>
      <c r="J205" s="86"/>
      <c r="K205" s="93"/>
      <c r="L205" s="86"/>
      <c r="M205" s="93">
        <f t="shared" si="7"/>
        <v>0</v>
      </c>
    </row>
    <row r="206" spans="1:13" ht="18" customHeight="1" x14ac:dyDescent="0.3">
      <c r="A206" s="61" t="s">
        <v>658</v>
      </c>
      <c r="C206" s="93"/>
      <c r="D206" s="86"/>
      <c r="E206" s="93"/>
      <c r="F206" s="86"/>
      <c r="G206" s="93"/>
      <c r="H206" s="86"/>
      <c r="I206" s="93"/>
      <c r="J206" s="86"/>
      <c r="K206" s="93"/>
      <c r="L206" s="86"/>
      <c r="M206" s="93">
        <f t="shared" si="7"/>
        <v>0</v>
      </c>
    </row>
    <row r="207" spans="1:13" ht="18" customHeight="1" x14ac:dyDescent="0.3">
      <c r="A207" s="61" t="s">
        <v>659</v>
      </c>
      <c r="C207" s="93"/>
      <c r="D207" s="86"/>
      <c r="E207" s="93"/>
      <c r="F207" s="86"/>
      <c r="G207" s="93"/>
      <c r="H207" s="86"/>
      <c r="I207" s="93"/>
      <c r="J207" s="86"/>
      <c r="K207" s="93"/>
      <c r="L207" s="86"/>
      <c r="M207" s="93">
        <f t="shared" si="7"/>
        <v>0</v>
      </c>
    </row>
    <row r="208" spans="1:13" ht="18" customHeight="1" x14ac:dyDescent="0.3">
      <c r="A208" s="61" t="s">
        <v>660</v>
      </c>
      <c r="C208" s="93"/>
      <c r="D208" s="86"/>
      <c r="E208" s="93"/>
      <c r="F208" s="86"/>
      <c r="G208" s="93"/>
      <c r="H208" s="86"/>
      <c r="I208" s="93"/>
      <c r="J208" s="86"/>
      <c r="K208" s="93"/>
      <c r="L208" s="86"/>
      <c r="M208" s="93">
        <f t="shared" si="7"/>
        <v>0</v>
      </c>
    </row>
    <row r="209" spans="1:13" ht="18" customHeight="1" x14ac:dyDescent="0.3">
      <c r="A209" s="61" t="s">
        <v>661</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662</v>
      </c>
      <c r="C211" s="86"/>
      <c r="D211" s="86"/>
      <c r="E211" s="86"/>
      <c r="F211" s="86"/>
      <c r="G211" s="86"/>
      <c r="H211" s="86"/>
      <c r="I211" s="86"/>
      <c r="J211" s="86"/>
      <c r="K211" s="86"/>
      <c r="L211" s="86"/>
      <c r="M211" s="86"/>
    </row>
    <row r="212" spans="1:13" ht="18" customHeight="1" x14ac:dyDescent="0.3">
      <c r="A212" s="61" t="s">
        <v>663</v>
      </c>
      <c r="C212" s="93"/>
      <c r="D212" s="86"/>
      <c r="E212" s="93"/>
      <c r="F212" s="86"/>
      <c r="G212" s="93"/>
      <c r="H212" s="86"/>
      <c r="I212" s="93"/>
      <c r="J212" s="86"/>
      <c r="K212" s="93"/>
      <c r="L212" s="86"/>
      <c r="M212" s="93">
        <f>+C212+E212-G212</f>
        <v>0</v>
      </c>
    </row>
    <row r="213" spans="1:13" ht="18" customHeight="1" x14ac:dyDescent="0.3">
      <c r="A213" s="61" t="s">
        <v>664</v>
      </c>
      <c r="C213" s="93"/>
      <c r="D213" s="86"/>
      <c r="E213" s="93"/>
      <c r="F213" s="86"/>
      <c r="G213" s="93"/>
      <c r="H213" s="86"/>
      <c r="I213" s="93"/>
      <c r="J213" s="86"/>
      <c r="K213" s="93"/>
      <c r="L213" s="86"/>
      <c r="M213" s="93">
        <f>+C213+E213-G213</f>
        <v>0</v>
      </c>
    </row>
    <row r="214" spans="1:13" ht="18" customHeight="1" x14ac:dyDescent="0.3">
      <c r="A214" s="61" t="s">
        <v>665</v>
      </c>
      <c r="C214" s="93"/>
      <c r="D214" s="86"/>
      <c r="E214" s="93"/>
      <c r="F214" s="86"/>
      <c r="G214" s="93"/>
      <c r="H214" s="86"/>
      <c r="I214" s="93"/>
      <c r="J214" s="86"/>
      <c r="K214" s="93"/>
      <c r="L214" s="86"/>
      <c r="M214" s="93">
        <f>+C214+E214-G214</f>
        <v>0</v>
      </c>
    </row>
    <row r="215" spans="1:13" ht="18" customHeight="1" x14ac:dyDescent="0.3">
      <c r="A215" s="61" t="s">
        <v>666</v>
      </c>
      <c r="C215" s="93"/>
      <c r="D215" s="86"/>
      <c r="E215" s="93"/>
      <c r="F215" s="86"/>
      <c r="G215" s="93"/>
      <c r="H215" s="86"/>
      <c r="I215" s="93"/>
      <c r="J215" s="86"/>
      <c r="K215" s="93"/>
      <c r="L215" s="86"/>
      <c r="M215" s="93">
        <f>+C215+E215-G215</f>
        <v>0</v>
      </c>
    </row>
    <row r="216" spans="1:13" ht="18" customHeight="1" x14ac:dyDescent="0.3">
      <c r="A216" s="61" t="s">
        <v>667</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668</v>
      </c>
      <c r="C218" s="86"/>
      <c r="D218" s="86"/>
      <c r="E218" s="86"/>
      <c r="F218" s="86"/>
      <c r="G218" s="86"/>
      <c r="H218" s="86"/>
      <c r="I218" s="86"/>
      <c r="J218" s="86"/>
      <c r="K218" s="86"/>
      <c r="L218" s="86"/>
      <c r="M218" s="86"/>
    </row>
    <row r="219" spans="1:13" ht="18" customHeight="1" x14ac:dyDescent="0.3">
      <c r="A219" s="61" t="s">
        <v>669</v>
      </c>
      <c r="C219" s="93"/>
      <c r="D219" s="86"/>
      <c r="E219" s="93"/>
      <c r="F219" s="86"/>
      <c r="G219" s="93"/>
      <c r="H219" s="86"/>
      <c r="I219" s="93"/>
      <c r="J219" s="86"/>
      <c r="K219" s="93"/>
      <c r="L219" s="86"/>
      <c r="M219" s="93">
        <f t="shared" ref="M219:M224" si="8">+C219+E219-G219</f>
        <v>0</v>
      </c>
    </row>
    <row r="220" spans="1:13" ht="18" customHeight="1" x14ac:dyDescent="0.3">
      <c r="A220" s="61" t="s">
        <v>670</v>
      </c>
      <c r="C220" s="93"/>
      <c r="D220" s="86"/>
      <c r="E220" s="93"/>
      <c r="F220" s="86"/>
      <c r="G220" s="93"/>
      <c r="H220" s="86"/>
      <c r="I220" s="93"/>
      <c r="J220" s="86"/>
      <c r="K220" s="93"/>
      <c r="L220" s="86"/>
      <c r="M220" s="93">
        <f t="shared" si="8"/>
        <v>0</v>
      </c>
    </row>
    <row r="221" spans="1:13" ht="18" customHeight="1" x14ac:dyDescent="0.3">
      <c r="A221" s="61" t="s">
        <v>671</v>
      </c>
      <c r="C221" s="93"/>
      <c r="D221" s="86"/>
      <c r="E221" s="93"/>
      <c r="F221" s="86"/>
      <c r="G221" s="93"/>
      <c r="H221" s="86"/>
      <c r="I221" s="93"/>
      <c r="J221" s="86"/>
      <c r="K221" s="93"/>
      <c r="L221" s="86"/>
      <c r="M221" s="93">
        <f t="shared" si="8"/>
        <v>0</v>
      </c>
    </row>
    <row r="222" spans="1:13" ht="18" customHeight="1" x14ac:dyDescent="0.3">
      <c r="A222" s="61" t="s">
        <v>672</v>
      </c>
      <c r="C222" s="93"/>
      <c r="D222" s="86"/>
      <c r="E222" s="93"/>
      <c r="F222" s="86"/>
      <c r="G222" s="93"/>
      <c r="H222" s="86"/>
      <c r="I222" s="93"/>
      <c r="J222" s="86"/>
      <c r="K222" s="93"/>
      <c r="L222" s="86"/>
      <c r="M222" s="93">
        <f t="shared" si="8"/>
        <v>0</v>
      </c>
    </row>
    <row r="223" spans="1:13" ht="18" customHeight="1" x14ac:dyDescent="0.3">
      <c r="A223" s="61" t="s">
        <v>673</v>
      </c>
      <c r="C223" s="93"/>
      <c r="D223" s="86"/>
      <c r="E223" s="93"/>
      <c r="F223" s="86"/>
      <c r="G223" s="93"/>
      <c r="H223" s="86"/>
      <c r="I223" s="93"/>
      <c r="J223" s="86"/>
      <c r="K223" s="93"/>
      <c r="L223" s="86"/>
      <c r="M223" s="93">
        <f t="shared" si="8"/>
        <v>0</v>
      </c>
    </row>
    <row r="224" spans="1:13" ht="18" customHeight="1" x14ac:dyDescent="0.3">
      <c r="A224" s="61" t="s">
        <v>674</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675</v>
      </c>
      <c r="C226" s="89">
        <f>SUM(C196:C224)</f>
        <v>0</v>
      </c>
      <c r="D226" s="86"/>
      <c r="E226" s="89">
        <f>SUM(E196:E224)</f>
        <v>0</v>
      </c>
      <c r="F226" s="86"/>
      <c r="G226" s="89">
        <f>SUM(G196:G224)</f>
        <v>0</v>
      </c>
      <c r="H226" s="86"/>
      <c r="I226" s="89"/>
      <c r="J226" s="86"/>
      <c r="K226" s="89"/>
      <c r="L226" s="86"/>
      <c r="M226" s="89">
        <f>SUM(M196:M224)</f>
        <v>0</v>
      </c>
      <c r="N226" s="185" t="s">
        <v>347</v>
      </c>
    </row>
    <row r="227" spans="1:14" ht="18" customHeight="1" x14ac:dyDescent="0.3">
      <c r="C227" s="86"/>
      <c r="D227" s="86"/>
      <c r="E227" s="86"/>
      <c r="F227" s="86"/>
      <c r="G227" s="86"/>
      <c r="H227" s="86"/>
      <c r="I227" s="86"/>
      <c r="J227" s="86"/>
      <c r="K227" s="86"/>
      <c r="L227" s="86"/>
      <c r="M227" s="86"/>
    </row>
    <row r="228" spans="1:14" ht="18" customHeight="1" x14ac:dyDescent="0.3">
      <c r="A228" s="61" t="s">
        <v>676</v>
      </c>
      <c r="C228" s="86"/>
      <c r="D228" s="86"/>
      <c r="E228" s="86"/>
      <c r="F228" s="86"/>
      <c r="G228" s="86"/>
      <c r="H228" s="86"/>
      <c r="I228" s="86"/>
      <c r="J228" s="86"/>
      <c r="K228" s="86"/>
      <c r="L228" s="86"/>
      <c r="M228" s="86"/>
    </row>
    <row r="229" spans="1:14" ht="18" customHeight="1" x14ac:dyDescent="0.3">
      <c r="A229" s="61" t="s">
        <v>677</v>
      </c>
      <c r="C229" s="86"/>
      <c r="D229" s="86"/>
      <c r="E229" s="86"/>
      <c r="F229" s="86"/>
      <c r="G229" s="86"/>
      <c r="H229" s="86"/>
      <c r="I229" s="86"/>
      <c r="J229" s="86"/>
      <c r="K229" s="86"/>
      <c r="L229" s="86"/>
      <c r="M229" s="86"/>
    </row>
    <row r="230" spans="1:14" ht="18" customHeight="1" x14ac:dyDescent="0.3">
      <c r="A230" s="61" t="s">
        <v>678</v>
      </c>
      <c r="C230" s="93"/>
      <c r="D230" s="86"/>
      <c r="E230" s="93"/>
      <c r="F230" s="86"/>
      <c r="G230" s="93"/>
      <c r="H230" s="86"/>
      <c r="I230" s="93"/>
      <c r="J230" s="86"/>
      <c r="K230" s="93"/>
      <c r="L230" s="86"/>
      <c r="M230" s="93">
        <f t="shared" ref="M230:M236" si="9">+C230+E230-G230</f>
        <v>0</v>
      </c>
    </row>
    <row r="231" spans="1:14" ht="18" customHeight="1" x14ac:dyDescent="0.3">
      <c r="A231" s="61" t="s">
        <v>679</v>
      </c>
      <c r="C231" s="93"/>
      <c r="D231" s="86"/>
      <c r="E231" s="93"/>
      <c r="F231" s="86"/>
      <c r="G231" s="93"/>
      <c r="H231" s="86"/>
      <c r="I231" s="93"/>
      <c r="J231" s="86"/>
      <c r="K231" s="93"/>
      <c r="L231" s="86"/>
      <c r="M231" s="93">
        <f t="shared" si="9"/>
        <v>0</v>
      </c>
    </row>
    <row r="232" spans="1:14" ht="18" customHeight="1" x14ac:dyDescent="0.3">
      <c r="A232" s="61" t="s">
        <v>680</v>
      </c>
      <c r="C232" s="93"/>
      <c r="D232" s="86"/>
      <c r="E232" s="93"/>
      <c r="F232" s="86"/>
      <c r="G232" s="93"/>
      <c r="H232" s="86"/>
      <c r="I232" s="93"/>
      <c r="J232" s="86"/>
      <c r="K232" s="93"/>
      <c r="L232" s="86"/>
      <c r="M232" s="93">
        <f t="shared" si="9"/>
        <v>0</v>
      </c>
    </row>
    <row r="233" spans="1:14" ht="18" customHeight="1" x14ac:dyDescent="0.3">
      <c r="A233" s="61" t="s">
        <v>681</v>
      </c>
      <c r="C233" s="93"/>
      <c r="D233" s="86"/>
      <c r="E233" s="93"/>
      <c r="F233" s="86"/>
      <c r="G233" s="93"/>
      <c r="H233" s="86"/>
      <c r="I233" s="93"/>
      <c r="J233" s="86"/>
      <c r="K233" s="93"/>
      <c r="L233" s="86"/>
      <c r="M233" s="93">
        <f t="shared" si="9"/>
        <v>0</v>
      </c>
    </row>
    <row r="234" spans="1:14" ht="18" customHeight="1" x14ac:dyDescent="0.3">
      <c r="A234" s="61" t="s">
        <v>682</v>
      </c>
      <c r="C234" s="93"/>
      <c r="D234" s="86"/>
      <c r="E234" s="93"/>
      <c r="F234" s="86"/>
      <c r="G234" s="93"/>
      <c r="H234" s="86"/>
      <c r="I234" s="93"/>
      <c r="J234" s="86"/>
      <c r="K234" s="93"/>
      <c r="L234" s="86"/>
      <c r="M234" s="93">
        <f t="shared" si="9"/>
        <v>0</v>
      </c>
    </row>
    <row r="235" spans="1:14" s="354" customFormat="1" ht="18" customHeight="1" x14ac:dyDescent="0.3">
      <c r="A235" s="354" t="s">
        <v>881</v>
      </c>
      <c r="C235" s="93"/>
      <c r="D235" s="86"/>
      <c r="E235" s="93"/>
      <c r="F235" s="86"/>
      <c r="G235" s="93"/>
      <c r="H235" s="86"/>
      <c r="I235" s="93"/>
      <c r="J235" s="86"/>
      <c r="K235" s="93"/>
      <c r="L235" s="86"/>
      <c r="M235" s="93">
        <f t="shared" ref="M235" si="10">+C235+E235-G235</f>
        <v>0</v>
      </c>
      <c r="N235" s="185"/>
    </row>
    <row r="236" spans="1:14" ht="18" customHeight="1" x14ac:dyDescent="0.3">
      <c r="A236" s="61" t="s">
        <v>683</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684</v>
      </c>
      <c r="C238" s="86"/>
      <c r="D238" s="86"/>
      <c r="E238" s="86"/>
      <c r="F238" s="86"/>
      <c r="G238" s="86"/>
      <c r="H238" s="86"/>
      <c r="I238" s="86"/>
      <c r="J238" s="86"/>
      <c r="K238" s="86"/>
      <c r="L238" s="86"/>
      <c r="M238" s="86"/>
    </row>
    <row r="239" spans="1:14" ht="18" customHeight="1" x14ac:dyDescent="0.3">
      <c r="A239" s="61" t="s">
        <v>685</v>
      </c>
      <c r="C239" s="93"/>
      <c r="D239" s="86"/>
      <c r="E239" s="93"/>
      <c r="F239" s="86"/>
      <c r="G239" s="93"/>
      <c r="H239" s="86"/>
      <c r="I239" s="93"/>
      <c r="J239" s="86"/>
      <c r="K239" s="93"/>
      <c r="L239" s="86"/>
      <c r="M239" s="93">
        <f t="shared" ref="M239:M244" si="11">+C239+E239-G239</f>
        <v>0</v>
      </c>
    </row>
    <row r="240" spans="1:14" ht="18" customHeight="1" x14ac:dyDescent="0.3">
      <c r="A240" s="61" t="s">
        <v>686</v>
      </c>
      <c r="C240" s="93"/>
      <c r="D240" s="86"/>
      <c r="E240" s="93"/>
      <c r="F240" s="86"/>
      <c r="G240" s="93"/>
      <c r="H240" s="86"/>
      <c r="I240" s="93"/>
      <c r="J240" s="86"/>
      <c r="K240" s="93"/>
      <c r="L240" s="86"/>
      <c r="M240" s="93">
        <f t="shared" si="11"/>
        <v>0</v>
      </c>
    </row>
    <row r="241" spans="1:14" ht="18" customHeight="1" x14ac:dyDescent="0.3">
      <c r="A241" s="61" t="s">
        <v>687</v>
      </c>
      <c r="C241" s="93"/>
      <c r="D241" s="86"/>
      <c r="E241" s="93"/>
      <c r="F241" s="86"/>
      <c r="G241" s="93"/>
      <c r="H241" s="86"/>
      <c r="I241" s="93"/>
      <c r="J241" s="86"/>
      <c r="K241" s="93"/>
      <c r="L241" s="86"/>
      <c r="M241" s="93">
        <f t="shared" si="11"/>
        <v>0</v>
      </c>
    </row>
    <row r="242" spans="1:14" ht="18" customHeight="1" x14ac:dyDescent="0.3">
      <c r="A242" s="61" t="s">
        <v>688</v>
      </c>
      <c r="C242" s="93"/>
      <c r="D242" s="86"/>
      <c r="E242" s="93"/>
      <c r="F242" s="86"/>
      <c r="G242" s="93"/>
      <c r="H242" s="86"/>
      <c r="I242" s="93"/>
      <c r="J242" s="86"/>
      <c r="K242" s="93"/>
      <c r="L242" s="86"/>
      <c r="M242" s="93">
        <f t="shared" si="11"/>
        <v>0</v>
      </c>
    </row>
    <row r="243" spans="1:14" ht="18" customHeight="1" x14ac:dyDescent="0.3">
      <c r="A243" s="61" t="s">
        <v>689</v>
      </c>
      <c r="C243" s="93"/>
      <c r="D243" s="86"/>
      <c r="E243" s="93"/>
      <c r="F243" s="86"/>
      <c r="G243" s="93"/>
      <c r="H243" s="86"/>
      <c r="I243" s="93"/>
      <c r="J243" s="86"/>
      <c r="K243" s="93"/>
      <c r="L243" s="86"/>
      <c r="M243" s="93">
        <f t="shared" si="11"/>
        <v>0</v>
      </c>
    </row>
    <row r="244" spans="1:14" ht="18" customHeight="1" x14ac:dyDescent="0.3">
      <c r="A244" s="61" t="s">
        <v>690</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691</v>
      </c>
      <c r="C246" s="89">
        <f>SUM(C230:C244)</f>
        <v>0</v>
      </c>
      <c r="D246" s="86"/>
      <c r="E246" s="89">
        <f>SUM(E230:E244)</f>
        <v>0</v>
      </c>
      <c r="F246" s="86"/>
      <c r="G246" s="89">
        <f>SUM(G230:G244)</f>
        <v>0</v>
      </c>
      <c r="H246" s="86"/>
      <c r="I246" s="89"/>
      <c r="J246" s="86"/>
      <c r="K246" s="89"/>
      <c r="L246" s="86"/>
      <c r="M246" s="89">
        <f>SUM(M230:M244)</f>
        <v>0</v>
      </c>
      <c r="N246" s="185" t="s">
        <v>348</v>
      </c>
    </row>
    <row r="247" spans="1:14" ht="18" customHeight="1" x14ac:dyDescent="0.3">
      <c r="C247" s="86"/>
      <c r="D247" s="86"/>
      <c r="E247" s="86"/>
      <c r="F247" s="86"/>
      <c r="G247" s="86"/>
      <c r="H247" s="86"/>
      <c r="I247" s="86"/>
      <c r="J247" s="86"/>
      <c r="K247" s="86"/>
      <c r="L247" s="86"/>
      <c r="M247" s="86"/>
    </row>
    <row r="248" spans="1:14" ht="18" customHeight="1" x14ac:dyDescent="0.3">
      <c r="A248" s="61" t="s">
        <v>692</v>
      </c>
      <c r="C248" s="86"/>
      <c r="D248" s="86"/>
      <c r="E248" s="86"/>
      <c r="F248" s="86"/>
      <c r="G248" s="86"/>
      <c r="H248" s="86"/>
      <c r="I248" s="86"/>
      <c r="J248" s="86"/>
      <c r="K248" s="86"/>
      <c r="L248" s="86"/>
      <c r="M248" s="86"/>
    </row>
    <row r="249" spans="1:14" ht="18" customHeight="1" x14ac:dyDescent="0.3">
      <c r="A249" s="61" t="s">
        <v>693</v>
      </c>
      <c r="C249" s="86"/>
      <c r="D249" s="86"/>
      <c r="E249" s="86"/>
      <c r="F249" s="86"/>
      <c r="G249" s="86"/>
      <c r="H249" s="86"/>
      <c r="I249" s="86"/>
      <c r="J249" s="86"/>
      <c r="K249" s="86"/>
      <c r="L249" s="86"/>
      <c r="M249" s="86"/>
    </row>
    <row r="250" spans="1:14" ht="18" customHeight="1" x14ac:dyDescent="0.3">
      <c r="A250" s="61" t="s">
        <v>694</v>
      </c>
      <c r="C250" s="93"/>
      <c r="D250" s="86"/>
      <c r="E250" s="93"/>
      <c r="F250" s="86"/>
      <c r="G250" s="93"/>
      <c r="H250" s="86"/>
      <c r="I250" s="93"/>
      <c r="J250" s="86"/>
      <c r="K250" s="93"/>
      <c r="L250" s="86"/>
      <c r="M250" s="93">
        <f t="shared" ref="M250:M256" si="12">+C250+E250-G250</f>
        <v>0</v>
      </c>
    </row>
    <row r="251" spans="1:14" ht="18" customHeight="1" x14ac:dyDescent="0.3">
      <c r="A251" s="61" t="s">
        <v>695</v>
      </c>
      <c r="C251" s="93"/>
      <c r="D251" s="86"/>
      <c r="E251" s="93"/>
      <c r="F251" s="86"/>
      <c r="G251" s="93"/>
      <c r="H251" s="86"/>
      <c r="I251" s="93"/>
      <c r="J251" s="86"/>
      <c r="K251" s="93"/>
      <c r="L251" s="86"/>
      <c r="M251" s="93">
        <f t="shared" si="12"/>
        <v>0</v>
      </c>
    </row>
    <row r="252" spans="1:14" ht="18" customHeight="1" x14ac:dyDescent="0.3">
      <c r="A252" s="61" t="s">
        <v>696</v>
      </c>
      <c r="C252" s="93"/>
      <c r="D252" s="86"/>
      <c r="E252" s="93"/>
      <c r="F252" s="86"/>
      <c r="G252" s="93"/>
      <c r="H252" s="86"/>
      <c r="I252" s="93"/>
      <c r="J252" s="86"/>
      <c r="K252" s="93"/>
      <c r="L252" s="86"/>
      <c r="M252" s="93">
        <f t="shared" si="12"/>
        <v>0</v>
      </c>
    </row>
    <row r="253" spans="1:14" ht="18" customHeight="1" x14ac:dyDescent="0.3">
      <c r="A253" s="61" t="s">
        <v>697</v>
      </c>
      <c r="C253" s="93"/>
      <c r="D253" s="86"/>
      <c r="E253" s="93"/>
      <c r="F253" s="86"/>
      <c r="G253" s="93"/>
      <c r="H253" s="86"/>
      <c r="I253" s="93"/>
      <c r="J253" s="86"/>
      <c r="K253" s="93"/>
      <c r="L253" s="86"/>
      <c r="M253" s="93">
        <f t="shared" si="12"/>
        <v>0</v>
      </c>
    </row>
    <row r="254" spans="1:14" ht="18" customHeight="1" x14ac:dyDescent="0.3">
      <c r="A254" s="61" t="s">
        <v>880</v>
      </c>
      <c r="C254" s="93"/>
      <c r="D254" s="86"/>
      <c r="E254" s="93"/>
      <c r="F254" s="86"/>
      <c r="G254" s="93"/>
      <c r="H254" s="86"/>
      <c r="I254" s="93"/>
      <c r="J254" s="86"/>
      <c r="K254" s="93"/>
      <c r="L254" s="86"/>
      <c r="M254" s="93">
        <f t="shared" si="12"/>
        <v>0</v>
      </c>
    </row>
    <row r="255" spans="1:14" ht="18" customHeight="1" x14ac:dyDescent="0.3">
      <c r="A255" s="61" t="s">
        <v>698</v>
      </c>
      <c r="C255" s="93"/>
      <c r="D255" s="86"/>
      <c r="E255" s="93"/>
      <c r="F255" s="86"/>
      <c r="G255" s="93"/>
      <c r="H255" s="86"/>
      <c r="I255" s="93"/>
      <c r="J255" s="86"/>
      <c r="K255" s="93"/>
      <c r="L255" s="86"/>
      <c r="M255" s="93">
        <f t="shared" si="12"/>
        <v>0</v>
      </c>
    </row>
    <row r="256" spans="1:14" ht="18" customHeight="1" x14ac:dyDescent="0.3">
      <c r="A256" s="61" t="s">
        <v>699</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700</v>
      </c>
      <c r="C258" s="86"/>
      <c r="D258" s="86"/>
      <c r="E258" s="86"/>
      <c r="F258" s="86"/>
      <c r="G258" s="86"/>
      <c r="H258" s="86"/>
      <c r="I258" s="86"/>
      <c r="J258" s="86"/>
      <c r="K258" s="86"/>
      <c r="L258" s="86"/>
      <c r="M258" s="86"/>
    </row>
    <row r="259" spans="1:14" ht="18" customHeight="1" x14ac:dyDescent="0.3">
      <c r="A259" s="61" t="s">
        <v>701</v>
      </c>
      <c r="C259" s="93"/>
      <c r="D259" s="86"/>
      <c r="E259" s="93"/>
      <c r="F259" s="86"/>
      <c r="G259" s="93"/>
      <c r="H259" s="86"/>
      <c r="I259" s="93"/>
      <c r="J259" s="86"/>
      <c r="K259" s="93"/>
      <c r="L259" s="86"/>
      <c r="M259" s="93">
        <f>+C259+E259-G259</f>
        <v>0</v>
      </c>
    </row>
    <row r="260" spans="1:14" ht="18" customHeight="1" x14ac:dyDescent="0.3">
      <c r="A260" s="61" t="s">
        <v>702</v>
      </c>
      <c r="C260" s="93"/>
      <c r="D260" s="86"/>
      <c r="E260" s="93"/>
      <c r="F260" s="86"/>
      <c r="G260" s="93"/>
      <c r="H260" s="86"/>
      <c r="I260" s="93"/>
      <c r="J260" s="86"/>
      <c r="K260" s="93"/>
      <c r="L260" s="86"/>
      <c r="M260" s="93">
        <f>+C260+E260-G260</f>
        <v>0</v>
      </c>
    </row>
    <row r="261" spans="1:14" ht="18" customHeight="1" x14ac:dyDescent="0.3">
      <c r="A261" s="61" t="s">
        <v>703</v>
      </c>
      <c r="C261" s="93"/>
      <c r="D261" s="86"/>
      <c r="E261" s="93"/>
      <c r="F261" s="86"/>
      <c r="G261" s="93"/>
      <c r="H261" s="86"/>
      <c r="I261" s="93"/>
      <c r="J261" s="86"/>
      <c r="K261" s="93"/>
      <c r="L261" s="86"/>
      <c r="M261" s="93">
        <f>+C261+E261-G261</f>
        <v>0</v>
      </c>
    </row>
    <row r="262" spans="1:14" ht="18" customHeight="1" x14ac:dyDescent="0.3">
      <c r="A262" s="61" t="s">
        <v>704</v>
      </c>
      <c r="C262" s="93"/>
      <c r="D262" s="86"/>
      <c r="E262" s="93"/>
      <c r="F262" s="86"/>
      <c r="G262" s="93"/>
      <c r="H262" s="86"/>
      <c r="I262" s="93"/>
      <c r="J262" s="86"/>
      <c r="K262" s="93"/>
      <c r="L262" s="86"/>
      <c r="M262" s="93">
        <f>+C262+E262-G262</f>
        <v>0</v>
      </c>
    </row>
    <row r="263" spans="1:14" ht="18" customHeight="1" x14ac:dyDescent="0.3">
      <c r="A263" s="61" t="s">
        <v>705</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706</v>
      </c>
      <c r="C265" s="89">
        <f>SUM(C250:C263)</f>
        <v>0</v>
      </c>
      <c r="D265" s="86"/>
      <c r="E265" s="89">
        <f>SUM(E250:E263)</f>
        <v>0</v>
      </c>
      <c r="F265" s="86"/>
      <c r="G265" s="89">
        <f>SUM(G250:G263)</f>
        <v>0</v>
      </c>
      <c r="H265" s="86"/>
      <c r="I265" s="89"/>
      <c r="J265" s="86"/>
      <c r="K265" s="89"/>
      <c r="L265" s="86"/>
      <c r="M265" s="89">
        <f>SUM(M250:M263)</f>
        <v>0</v>
      </c>
      <c r="N265" s="185" t="s">
        <v>707</v>
      </c>
    </row>
    <row r="266" spans="1:14" ht="18" customHeight="1" x14ac:dyDescent="0.3">
      <c r="C266" s="86"/>
      <c r="D266" s="86"/>
      <c r="E266" s="86"/>
      <c r="F266" s="86"/>
      <c r="G266" s="86"/>
      <c r="H266" s="86"/>
      <c r="I266" s="86"/>
      <c r="J266" s="86"/>
      <c r="K266" s="86"/>
      <c r="L266" s="86"/>
      <c r="M266" s="86"/>
    </row>
    <row r="267" spans="1:14" ht="18" customHeight="1" x14ac:dyDescent="0.3">
      <c r="A267" s="61" t="s">
        <v>708</v>
      </c>
      <c r="C267" s="86"/>
      <c r="D267" s="86"/>
      <c r="E267" s="86"/>
      <c r="F267" s="86"/>
      <c r="G267" s="86"/>
      <c r="H267" s="86"/>
      <c r="I267" s="86"/>
      <c r="J267" s="86"/>
      <c r="K267" s="86"/>
      <c r="L267" s="86"/>
      <c r="M267" s="86"/>
    </row>
    <row r="268" spans="1:14" ht="18" customHeight="1" x14ac:dyDescent="0.3">
      <c r="A268" s="61" t="s">
        <v>709</v>
      </c>
      <c r="C268" s="86"/>
      <c r="D268" s="86"/>
      <c r="E268" s="86"/>
      <c r="F268" s="86"/>
      <c r="G268" s="86"/>
      <c r="H268" s="86"/>
      <c r="I268" s="86"/>
      <c r="J268" s="86"/>
      <c r="K268" s="86"/>
      <c r="L268" s="86"/>
      <c r="M268" s="86"/>
    </row>
    <row r="269" spans="1:14" ht="18" customHeight="1" x14ac:dyDescent="0.3">
      <c r="A269" s="61" t="s">
        <v>710</v>
      </c>
      <c r="C269" s="93"/>
      <c r="D269" s="86"/>
      <c r="E269" s="93"/>
      <c r="F269" s="86"/>
      <c r="G269" s="93"/>
      <c r="H269" s="86"/>
      <c r="I269" s="93"/>
      <c r="J269" s="86"/>
      <c r="K269" s="93"/>
      <c r="L269" s="86"/>
      <c r="M269" s="93">
        <f>+C269+E269-G269</f>
        <v>0</v>
      </c>
    </row>
    <row r="270" spans="1:14" ht="18" customHeight="1" x14ac:dyDescent="0.3">
      <c r="A270" s="61" t="s">
        <v>711</v>
      </c>
      <c r="C270" s="93"/>
      <c r="D270" s="86"/>
      <c r="E270" s="93"/>
      <c r="F270" s="86"/>
      <c r="G270" s="93"/>
      <c r="H270" s="86"/>
      <c r="I270" s="93"/>
      <c r="J270" s="86"/>
      <c r="K270" s="93"/>
      <c r="L270" s="86"/>
      <c r="M270" s="93">
        <f>+C270+E270-G270</f>
        <v>0</v>
      </c>
    </row>
    <row r="271" spans="1:14" ht="18" customHeight="1" x14ac:dyDescent="0.3">
      <c r="A271" s="61" t="s">
        <v>712</v>
      </c>
      <c r="C271" s="93"/>
      <c r="D271" s="86"/>
      <c r="E271" s="93"/>
      <c r="F271" s="86"/>
      <c r="G271" s="93"/>
      <c r="H271" s="86"/>
      <c r="I271" s="93"/>
      <c r="J271" s="86"/>
      <c r="K271" s="93"/>
      <c r="L271" s="86"/>
      <c r="M271" s="93">
        <f>+C271+E271-G271</f>
        <v>0</v>
      </c>
    </row>
    <row r="272" spans="1:14" ht="18" customHeight="1" x14ac:dyDescent="0.3">
      <c r="A272" s="61" t="s">
        <v>713</v>
      </c>
      <c r="C272" s="86"/>
      <c r="D272" s="86"/>
      <c r="E272" s="86"/>
      <c r="F272" s="86"/>
      <c r="G272" s="86"/>
      <c r="H272" s="86"/>
      <c r="I272" s="86"/>
      <c r="J272" s="86"/>
      <c r="K272" s="86"/>
      <c r="L272" s="86"/>
      <c r="M272" s="86"/>
    </row>
    <row r="273" spans="1:14" ht="18" customHeight="1" x14ac:dyDescent="0.3">
      <c r="A273" s="61" t="s">
        <v>714</v>
      </c>
      <c r="C273" s="86"/>
      <c r="D273" s="86"/>
      <c r="E273" s="86"/>
      <c r="F273" s="86"/>
      <c r="G273" s="86"/>
      <c r="H273" s="86"/>
      <c r="I273" s="86"/>
      <c r="J273" s="86"/>
      <c r="K273" s="86"/>
      <c r="L273" s="86"/>
      <c r="M273" s="86"/>
    </row>
    <row r="274" spans="1:14" ht="18" customHeight="1" x14ac:dyDescent="0.3">
      <c r="A274" s="61" t="s">
        <v>715</v>
      </c>
      <c r="C274" s="93"/>
      <c r="D274" s="86"/>
      <c r="E274" s="93"/>
      <c r="F274" s="86"/>
      <c r="G274" s="93"/>
      <c r="H274" s="86"/>
      <c r="I274" s="93"/>
      <c r="J274" s="86"/>
      <c r="K274" s="93"/>
      <c r="L274" s="86"/>
      <c r="M274" s="93">
        <f>+C274+E274-G274</f>
        <v>0</v>
      </c>
    </row>
    <row r="275" spans="1:14" ht="18" customHeight="1" x14ac:dyDescent="0.3">
      <c r="A275" s="61" t="s">
        <v>716</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717</v>
      </c>
      <c r="C277" s="89">
        <f>SUM(C269:C275)</f>
        <v>0</v>
      </c>
      <c r="D277" s="86"/>
      <c r="E277" s="89">
        <f>SUM(E269:E275)</f>
        <v>0</v>
      </c>
      <c r="F277" s="86"/>
      <c r="G277" s="89">
        <f>SUM(G269:G275)</f>
        <v>0</v>
      </c>
      <c r="H277" s="86"/>
      <c r="I277" s="89"/>
      <c r="J277" s="86"/>
      <c r="K277" s="89"/>
      <c r="L277" s="86"/>
      <c r="M277" s="89">
        <f>SUM(M269:M275)</f>
        <v>0</v>
      </c>
      <c r="N277" s="185" t="s">
        <v>350</v>
      </c>
    </row>
    <row r="278" spans="1:14" ht="18" customHeight="1" x14ac:dyDescent="0.3">
      <c r="C278" s="86"/>
      <c r="D278" s="86"/>
      <c r="E278" s="86"/>
      <c r="F278" s="86"/>
      <c r="G278" s="86"/>
      <c r="H278" s="86"/>
      <c r="I278" s="86"/>
      <c r="J278" s="86"/>
      <c r="K278" s="86"/>
      <c r="L278" s="86"/>
      <c r="M278" s="86"/>
    </row>
    <row r="279" spans="1:14" ht="18" customHeight="1" x14ac:dyDescent="0.3">
      <c r="A279" s="84" t="s">
        <v>718</v>
      </c>
      <c r="C279" s="89"/>
      <c r="D279" s="86"/>
      <c r="E279" s="89"/>
      <c r="F279" s="86"/>
      <c r="G279" s="89"/>
      <c r="H279" s="86"/>
      <c r="I279" s="89"/>
      <c r="J279" s="86"/>
      <c r="K279" s="89"/>
      <c r="L279" s="86"/>
      <c r="M279" s="89">
        <f>+C279+E279-G279</f>
        <v>0</v>
      </c>
      <c r="N279" s="185" t="s">
        <v>719</v>
      </c>
    </row>
    <row r="280" spans="1:14" ht="18" customHeight="1" x14ac:dyDescent="0.3">
      <c r="C280" s="86"/>
      <c r="D280" s="86"/>
      <c r="E280" s="86"/>
      <c r="F280" s="86"/>
      <c r="G280" s="86"/>
      <c r="H280" s="86"/>
      <c r="I280" s="86"/>
      <c r="J280" s="86"/>
      <c r="K280" s="86"/>
      <c r="L280" s="86"/>
      <c r="M280" s="86"/>
    </row>
    <row r="281" spans="1:14" ht="18" customHeight="1" x14ac:dyDescent="0.3">
      <c r="A281" s="61" t="s">
        <v>720</v>
      </c>
      <c r="C281" s="89"/>
      <c r="D281" s="86"/>
      <c r="E281" s="89"/>
      <c r="F281" s="86"/>
      <c r="G281" s="89"/>
      <c r="H281" s="86"/>
      <c r="I281" s="89"/>
      <c r="J281" s="86"/>
      <c r="K281" s="89"/>
      <c r="L281" s="86"/>
      <c r="M281" s="89">
        <f>+C281+E281-G281</f>
        <v>0</v>
      </c>
      <c r="N281" s="185" t="s">
        <v>721</v>
      </c>
    </row>
    <row r="282" spans="1:14" ht="18" customHeight="1" x14ac:dyDescent="0.3">
      <c r="C282" s="86"/>
      <c r="D282" s="86"/>
      <c r="E282" s="86"/>
      <c r="F282" s="86"/>
      <c r="G282" s="86"/>
      <c r="H282" s="86"/>
      <c r="I282" s="86"/>
      <c r="J282" s="86"/>
      <c r="K282" s="86"/>
      <c r="L282" s="86"/>
      <c r="M282" s="86"/>
    </row>
    <row r="283" spans="1:14" ht="18" customHeight="1" x14ac:dyDescent="0.3">
      <c r="A283" s="61" t="s">
        <v>722</v>
      </c>
      <c r="C283" s="86"/>
      <c r="D283" s="86"/>
      <c r="E283" s="86"/>
      <c r="F283" s="86"/>
      <c r="G283" s="86"/>
      <c r="H283" s="86"/>
      <c r="I283" s="86"/>
      <c r="J283" s="86"/>
      <c r="K283" s="86"/>
      <c r="L283" s="86"/>
      <c r="M283" s="86"/>
    </row>
    <row r="284" spans="1:14" ht="18" customHeight="1" x14ac:dyDescent="0.3">
      <c r="A284" s="61" t="s">
        <v>723</v>
      </c>
      <c r="C284" s="89"/>
      <c r="D284" s="86"/>
      <c r="E284" s="89"/>
      <c r="F284" s="86"/>
      <c r="G284" s="89"/>
      <c r="H284" s="86"/>
      <c r="I284" s="89"/>
      <c r="J284" s="86"/>
      <c r="K284" s="89"/>
      <c r="L284" s="86"/>
      <c r="M284" s="89">
        <f>+C284+E284-G284</f>
        <v>0</v>
      </c>
      <c r="N284" s="185" t="s">
        <v>724</v>
      </c>
    </row>
    <row r="285" spans="1:14" ht="18" customHeight="1" x14ac:dyDescent="0.3">
      <c r="C285" s="86"/>
      <c r="D285" s="86"/>
      <c r="E285" s="86"/>
      <c r="F285" s="86"/>
      <c r="G285" s="86"/>
      <c r="H285" s="86"/>
      <c r="I285" s="86"/>
      <c r="J285" s="86"/>
      <c r="K285" s="86"/>
      <c r="L285" s="86"/>
      <c r="M285" s="86"/>
    </row>
    <row r="286" spans="1:14" ht="18" customHeight="1" x14ac:dyDescent="0.3">
      <c r="A286" s="61" t="s">
        <v>725</v>
      </c>
      <c r="C286" s="89"/>
      <c r="D286" s="86"/>
      <c r="E286" s="89"/>
      <c r="F286" s="86"/>
      <c r="G286" s="89"/>
      <c r="H286" s="86"/>
      <c r="I286" s="89"/>
      <c r="J286" s="86"/>
      <c r="K286" s="89"/>
      <c r="L286" s="86"/>
      <c r="M286" s="89">
        <f>+C286+E286-G286</f>
        <v>0</v>
      </c>
      <c r="N286" s="185" t="s">
        <v>726</v>
      </c>
    </row>
    <row r="287" spans="1:14" ht="18" customHeight="1" x14ac:dyDescent="0.3">
      <c r="C287" s="86"/>
      <c r="D287" s="86"/>
      <c r="E287" s="86"/>
      <c r="F287" s="86"/>
      <c r="G287" s="86"/>
      <c r="H287" s="86"/>
      <c r="I287" s="86"/>
      <c r="J287" s="86"/>
      <c r="K287" s="86"/>
      <c r="L287" s="86"/>
      <c r="M287" s="86"/>
    </row>
    <row r="288" spans="1:14" ht="18" customHeight="1" x14ac:dyDescent="0.3">
      <c r="A288" s="61" t="s">
        <v>727</v>
      </c>
      <c r="C288" s="89"/>
      <c r="D288" s="86"/>
      <c r="E288" s="89"/>
      <c r="F288" s="86"/>
      <c r="G288" s="89"/>
      <c r="H288" s="86"/>
      <c r="I288" s="93"/>
      <c r="J288" s="86"/>
      <c r="K288" s="93"/>
      <c r="L288" s="86"/>
      <c r="M288" s="89">
        <f>+C288+E288-G288</f>
        <v>0</v>
      </c>
      <c r="N288" s="185" t="s">
        <v>728</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47522.237058840285</v>
      </c>
      <c r="F290" s="86"/>
      <c r="G290" s="89">
        <f>+G288+G286+G284+G281+G279+G277+G265+G246+G226+G192+G174+G156</f>
        <v>31599.719999999998</v>
      </c>
      <c r="H290" s="86"/>
      <c r="I290" s="89"/>
      <c r="J290" s="86"/>
      <c r="K290" s="89"/>
      <c r="L290" s="86"/>
      <c r="M290" s="89">
        <f>+M288+M286+M284+M281+M279+M277+M265+M246+M226+M192+M174+M156</f>
        <v>15922.517058840287</v>
      </c>
    </row>
    <row r="291" spans="1:14" ht="18" customHeight="1" x14ac:dyDescent="0.3">
      <c r="C291" s="85"/>
      <c r="D291" s="86"/>
      <c r="E291" s="85"/>
      <c r="F291" s="86"/>
      <c r="G291" s="85"/>
      <c r="H291" s="86"/>
      <c r="I291" s="85"/>
      <c r="J291" s="86"/>
      <c r="K291" s="85"/>
      <c r="L291" s="86"/>
      <c r="M291" s="85"/>
    </row>
    <row r="292" spans="1:14" ht="18" customHeight="1" x14ac:dyDescent="0.3">
      <c r="A292" s="61" t="s">
        <v>729</v>
      </c>
      <c r="C292" s="89">
        <f>+C118-C290</f>
        <v>0</v>
      </c>
      <c r="D292" s="86"/>
      <c r="E292" s="89">
        <f>+E118-E290</f>
        <v>-47522.237058840285</v>
      </c>
      <c r="F292" s="86"/>
      <c r="G292" s="89">
        <f>+G118-G290</f>
        <v>-31599.719999999998</v>
      </c>
      <c r="H292" s="86"/>
      <c r="I292" s="85"/>
      <c r="J292" s="86"/>
      <c r="K292" s="85"/>
      <c r="L292" s="86"/>
      <c r="M292" s="89">
        <f>+M118-M290</f>
        <v>-15922.517058840287</v>
      </c>
    </row>
    <row r="293" spans="1:14" ht="18" customHeight="1" x14ac:dyDescent="0.3">
      <c r="C293" s="86"/>
      <c r="D293" s="86"/>
      <c r="E293" s="86"/>
      <c r="F293" s="86"/>
      <c r="G293" s="86"/>
      <c r="H293" s="86"/>
      <c r="I293" s="86"/>
      <c r="J293" s="86"/>
      <c r="K293" s="86"/>
      <c r="L293" s="86"/>
      <c r="M293" s="86"/>
    </row>
    <row r="294" spans="1:14" ht="18" customHeight="1" x14ac:dyDescent="0.3">
      <c r="A294" s="84" t="s">
        <v>730</v>
      </c>
      <c r="C294" s="86"/>
      <c r="D294" s="86"/>
      <c r="E294" s="86"/>
      <c r="F294" s="86"/>
      <c r="G294" s="86"/>
      <c r="H294" s="86"/>
      <c r="I294" s="86"/>
      <c r="J294" s="86"/>
      <c r="K294" s="86"/>
      <c r="L294" s="86"/>
      <c r="M294" s="86"/>
    </row>
    <row r="295" spans="1:14" ht="18" customHeight="1" x14ac:dyDescent="0.3">
      <c r="A295" s="61" t="s">
        <v>731</v>
      </c>
      <c r="C295" s="93"/>
      <c r="D295" s="86"/>
      <c r="E295" s="93"/>
      <c r="F295" s="86"/>
      <c r="G295" s="93"/>
      <c r="H295" s="86"/>
      <c r="I295" s="93"/>
      <c r="J295" s="86"/>
      <c r="K295" s="93"/>
      <c r="L295" s="86"/>
      <c r="M295" s="93">
        <f>+C295-E295+G295</f>
        <v>0</v>
      </c>
      <c r="N295" s="185" t="s">
        <v>198</v>
      </c>
    </row>
    <row r="296" spans="1:14" ht="18" customHeight="1" x14ac:dyDescent="0.3">
      <c r="A296" s="61" t="s">
        <v>732</v>
      </c>
      <c r="C296" s="93"/>
      <c r="D296" s="86"/>
      <c r="E296" s="93"/>
      <c r="F296" s="86"/>
      <c r="G296" s="93"/>
      <c r="H296" s="86"/>
      <c r="I296" s="93"/>
      <c r="J296" s="86"/>
      <c r="K296" s="93"/>
      <c r="L296" s="86"/>
      <c r="M296" s="93">
        <f>+C296+E296-G296</f>
        <v>0</v>
      </c>
      <c r="N296" s="185" t="s">
        <v>198</v>
      </c>
    </row>
    <row r="297" spans="1:14" ht="18" customHeight="1" x14ac:dyDescent="0.3">
      <c r="A297" s="61" t="s">
        <v>733</v>
      </c>
      <c r="C297" s="93"/>
      <c r="D297" s="86"/>
      <c r="E297" s="93"/>
      <c r="F297" s="86"/>
      <c r="G297" s="93"/>
      <c r="H297" s="86"/>
      <c r="I297" s="93"/>
      <c r="J297" s="86"/>
      <c r="K297" s="93"/>
      <c r="L297" s="86"/>
      <c r="M297" s="93">
        <f>+C297-E297+G297</f>
        <v>0</v>
      </c>
      <c r="N297" s="185" t="s">
        <v>734</v>
      </c>
    </row>
    <row r="298" spans="1:14" ht="18" customHeight="1" x14ac:dyDescent="0.3">
      <c r="A298" s="61" t="s">
        <v>735</v>
      </c>
      <c r="C298" s="93"/>
      <c r="D298" s="86"/>
      <c r="E298" s="93"/>
      <c r="F298" s="86"/>
      <c r="G298" s="93"/>
      <c r="H298" s="86"/>
      <c r="I298" s="93"/>
      <c r="J298" s="86"/>
      <c r="K298" s="93"/>
      <c r="L298" s="86"/>
      <c r="M298" s="93">
        <f>+C298-E298+G298</f>
        <v>0</v>
      </c>
      <c r="N298" s="185" t="s">
        <v>199</v>
      </c>
    </row>
    <row r="299" spans="1:14" ht="18" customHeight="1" x14ac:dyDescent="0.3">
      <c r="A299" s="61" t="s">
        <v>736</v>
      </c>
      <c r="C299" s="93"/>
      <c r="D299" s="86"/>
      <c r="E299" s="93"/>
      <c r="F299" s="86"/>
      <c r="G299" s="93"/>
      <c r="H299" s="86"/>
      <c r="I299" s="93"/>
      <c r="J299" s="86"/>
      <c r="K299" s="93"/>
      <c r="L299" s="86"/>
      <c r="M299" s="93">
        <f>+C299-E299+G299</f>
        <v>0</v>
      </c>
      <c r="N299" s="185" t="s">
        <v>587</v>
      </c>
    </row>
    <row r="300" spans="1:14" ht="18" customHeight="1" x14ac:dyDescent="0.3">
      <c r="A300" s="61" t="s">
        <v>737</v>
      </c>
      <c r="C300" s="86"/>
      <c r="D300" s="86"/>
      <c r="E300" s="86"/>
      <c r="F300" s="86"/>
      <c r="G300" s="86"/>
      <c r="H300" s="86"/>
      <c r="I300" s="86"/>
      <c r="J300" s="86"/>
      <c r="K300" s="86"/>
      <c r="L300" s="86"/>
      <c r="M300" s="86"/>
    </row>
    <row r="301" spans="1:14" ht="18" customHeight="1" x14ac:dyDescent="0.3">
      <c r="A301" s="61" t="s">
        <v>738</v>
      </c>
      <c r="C301" s="93"/>
      <c r="D301" s="86"/>
      <c r="E301" s="93"/>
      <c r="F301" s="86"/>
      <c r="G301" s="93"/>
      <c r="H301" s="86"/>
      <c r="I301" s="93"/>
      <c r="J301" s="86"/>
      <c r="K301" s="93"/>
      <c r="L301" s="86"/>
      <c r="M301" s="93">
        <f>+C301+E301-G301</f>
        <v>0</v>
      </c>
      <c r="N301" s="185" t="s">
        <v>739</v>
      </c>
    </row>
    <row r="302" spans="1:14" ht="18" customHeight="1" x14ac:dyDescent="0.3">
      <c r="A302" s="84" t="s">
        <v>740</v>
      </c>
      <c r="C302" s="93"/>
      <c r="D302" s="86"/>
      <c r="E302" s="93"/>
      <c r="F302" s="86"/>
      <c r="G302" s="93"/>
      <c r="H302" s="86"/>
      <c r="I302" s="93"/>
      <c r="J302" s="86"/>
      <c r="K302" s="93"/>
      <c r="L302" s="86"/>
      <c r="M302" s="93">
        <f>+C302+E302-G302</f>
        <v>0</v>
      </c>
      <c r="N302" s="185" t="s">
        <v>741</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742</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743</v>
      </c>
      <c r="C306" s="93"/>
      <c r="D306" s="86"/>
      <c r="E306" s="93"/>
      <c r="F306" s="85"/>
      <c r="G306" s="93"/>
      <c r="H306" s="86"/>
      <c r="I306" s="93"/>
      <c r="J306" s="86"/>
      <c r="K306" s="93"/>
      <c r="L306" s="86"/>
      <c r="M306" s="93">
        <f>C306</f>
        <v>0</v>
      </c>
      <c r="N306" s="185" t="s">
        <v>744</v>
      </c>
    </row>
    <row r="307" spans="1:14" ht="18" customHeight="1" x14ac:dyDescent="0.3">
      <c r="A307" s="61" t="s">
        <v>745</v>
      </c>
      <c r="C307" s="93"/>
      <c r="D307" s="86"/>
      <c r="E307" s="93"/>
      <c r="F307" s="85"/>
      <c r="G307" s="93"/>
      <c r="H307" s="86"/>
      <c r="I307" s="93"/>
      <c r="J307" s="86"/>
      <c r="K307" s="93"/>
      <c r="L307" s="86"/>
      <c r="M307" s="93">
        <f>C307</f>
        <v>0</v>
      </c>
      <c r="N307" s="185" t="s">
        <v>746</v>
      </c>
    </row>
    <row r="308" spans="1:14" ht="18" customHeight="1" x14ac:dyDescent="0.3">
      <c r="C308" s="86"/>
      <c r="D308" s="86"/>
      <c r="E308" s="85"/>
      <c r="F308" s="85"/>
      <c r="G308" s="85"/>
      <c r="H308" s="86"/>
      <c r="I308" s="86"/>
      <c r="J308" s="86"/>
      <c r="K308" s="86"/>
      <c r="L308" s="86"/>
      <c r="M308" s="86"/>
    </row>
    <row r="309" spans="1:14" ht="18" customHeight="1" x14ac:dyDescent="0.3">
      <c r="A309" s="61" t="s">
        <v>747</v>
      </c>
      <c r="C309" s="86"/>
      <c r="D309" s="86"/>
      <c r="E309" s="85"/>
      <c r="F309" s="85"/>
      <c r="G309" s="85"/>
      <c r="H309" s="86"/>
      <c r="I309" s="86"/>
      <c r="J309" s="86"/>
      <c r="K309" s="86"/>
      <c r="L309" s="86"/>
      <c r="M309" s="86"/>
    </row>
    <row r="310" spans="1:14" ht="18" customHeight="1" x14ac:dyDescent="0.3">
      <c r="A310" s="92" t="s">
        <v>748</v>
      </c>
      <c r="C310" s="89">
        <f>+C307+C306+C118-C290+C304</f>
        <v>0</v>
      </c>
      <c r="D310" s="86"/>
      <c r="E310" s="85"/>
      <c r="F310" s="85"/>
      <c r="G310" s="85"/>
      <c r="H310" s="86"/>
      <c r="I310" s="89"/>
      <c r="J310" s="86"/>
      <c r="K310" s="89"/>
      <c r="L310" s="86"/>
      <c r="M310" s="89">
        <f>+M312+M307+M306+M118-M290+M304</f>
        <v>-15922.517058840287</v>
      </c>
      <c r="N310" s="198" t="s">
        <v>749</v>
      </c>
    </row>
    <row r="311" spans="1:14" ht="18" customHeight="1" x14ac:dyDescent="0.3">
      <c r="C311" s="85"/>
      <c r="D311" s="86"/>
      <c r="E311" s="85"/>
      <c r="F311" s="85"/>
      <c r="G311" s="85"/>
      <c r="H311" s="86"/>
      <c r="I311" s="85"/>
      <c r="J311" s="86"/>
      <c r="K311" s="85"/>
      <c r="L311" s="86"/>
      <c r="M311" s="85"/>
    </row>
    <row r="312" spans="1:14" ht="18" customHeight="1" x14ac:dyDescent="0.3">
      <c r="A312" s="61" t="s">
        <v>750</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751</v>
      </c>
      <c r="B314" s="88"/>
      <c r="C314" s="93"/>
      <c r="D314" s="85"/>
      <c r="E314" s="214">
        <f>Reconciliations!C11</f>
        <v>0</v>
      </c>
      <c r="F314" s="215" t="s">
        <v>127</v>
      </c>
      <c r="G314" s="214">
        <f>Reconciliations!D11</f>
        <v>126404.45447060005</v>
      </c>
      <c r="H314" s="85" t="s">
        <v>127</v>
      </c>
      <c r="I314" s="85"/>
      <c r="J314" s="85"/>
      <c r="K314" s="85"/>
      <c r="L314" s="85"/>
      <c r="M314" s="93">
        <f>+C314-E314-E315-E316+G314+G315+G316</f>
        <v>126404.45447060005</v>
      </c>
      <c r="N314" s="211" t="s">
        <v>752</v>
      </c>
    </row>
    <row r="315" spans="1:14" ht="18" customHeight="1" x14ac:dyDescent="0.3">
      <c r="A315" s="88"/>
      <c r="B315" s="88"/>
      <c r="C315" s="85"/>
      <c r="D315" s="85"/>
      <c r="E315" s="94"/>
      <c r="F315" s="85"/>
      <c r="G315" s="94"/>
      <c r="H315" s="85"/>
      <c r="I315" s="85"/>
      <c r="J315" s="85"/>
      <c r="K315" s="85"/>
      <c r="L315" s="85"/>
      <c r="M315" s="85"/>
      <c r="N315" s="206"/>
    </row>
    <row r="316" spans="1:14" ht="18" customHeight="1" x14ac:dyDescent="0.3">
      <c r="A316" s="88"/>
      <c r="B316" s="88"/>
      <c r="C316" s="85"/>
      <c r="D316" s="85"/>
      <c r="E316" s="94"/>
      <c r="F316" s="85"/>
      <c r="G316" s="93"/>
      <c r="H316" s="85"/>
      <c r="I316" s="85"/>
      <c r="J316" s="85"/>
      <c r="K316" s="85"/>
      <c r="L316" s="85"/>
      <c r="M316" s="85"/>
      <c r="N316" s="206"/>
    </row>
    <row r="317" spans="1:14" ht="18" customHeight="1" x14ac:dyDescent="0.3">
      <c r="A317" s="210" t="s">
        <v>200</v>
      </c>
      <c r="B317" s="88"/>
      <c r="C317" s="85"/>
      <c r="D317" s="85"/>
      <c r="E317" s="85"/>
      <c r="F317" s="85"/>
      <c r="G317" s="85"/>
      <c r="H317" s="85"/>
      <c r="I317" s="85"/>
      <c r="J317" s="85"/>
      <c r="K317" s="85"/>
      <c r="L317" s="85"/>
      <c r="M317" s="85"/>
      <c r="N317" s="206"/>
    </row>
    <row r="318" spans="1:14" ht="18" customHeight="1" x14ac:dyDescent="0.3">
      <c r="A318" s="210" t="s">
        <v>753</v>
      </c>
      <c r="B318" s="88"/>
      <c r="C318" s="93"/>
      <c r="D318" s="85"/>
      <c r="E318" s="93"/>
      <c r="F318" s="85"/>
      <c r="G318" s="93"/>
      <c r="H318" s="85"/>
      <c r="I318" s="85"/>
      <c r="J318" s="85"/>
      <c r="K318" s="85"/>
      <c r="L318" s="85"/>
      <c r="M318" s="93">
        <f>C318</f>
        <v>0</v>
      </c>
      <c r="N318" s="206" t="s">
        <v>165</v>
      </c>
    </row>
    <row r="319" spans="1:14" ht="18" customHeight="1" x14ac:dyDescent="0.3">
      <c r="A319" s="210" t="s">
        <v>753</v>
      </c>
      <c r="B319" s="88"/>
      <c r="C319" s="93"/>
      <c r="D319" s="85"/>
      <c r="E319" s="93"/>
      <c r="F319" s="85"/>
      <c r="G319" s="93"/>
      <c r="H319" s="85"/>
      <c r="I319" s="85"/>
      <c r="J319" s="85"/>
      <c r="K319" s="85"/>
      <c r="L319" s="85"/>
      <c r="M319" s="93">
        <f>C319</f>
        <v>0</v>
      </c>
      <c r="N319" s="206"/>
    </row>
    <row r="320" spans="1:14" ht="18" customHeight="1" x14ac:dyDescent="0.3">
      <c r="A320" s="210" t="s">
        <v>753</v>
      </c>
      <c r="B320" s="88"/>
      <c r="C320" s="93"/>
      <c r="D320" s="85"/>
      <c r="E320" s="93"/>
      <c r="F320" s="85"/>
      <c r="G320" s="93"/>
      <c r="H320" s="85"/>
      <c r="I320" s="85"/>
      <c r="J320" s="85"/>
      <c r="K320" s="85"/>
      <c r="L320" s="85"/>
      <c r="M320" s="93">
        <f>C320</f>
        <v>0</v>
      </c>
      <c r="N320" s="206"/>
    </row>
    <row r="321" spans="1:14" ht="18" customHeight="1" x14ac:dyDescent="0.3">
      <c r="A321" s="210" t="s">
        <v>753</v>
      </c>
      <c r="B321" s="88"/>
      <c r="C321" s="93"/>
      <c r="D321" s="85"/>
      <c r="E321" s="93"/>
      <c r="F321" s="85"/>
      <c r="G321" s="93"/>
      <c r="H321" s="85"/>
      <c r="I321" s="85"/>
      <c r="J321" s="85"/>
      <c r="K321" s="85"/>
      <c r="L321" s="85"/>
      <c r="M321" s="93">
        <f>C321</f>
        <v>0</v>
      </c>
      <c r="N321" s="206"/>
    </row>
    <row r="322" spans="1:14" ht="18" customHeight="1" x14ac:dyDescent="0.3">
      <c r="A322" s="88"/>
      <c r="B322" s="88"/>
      <c r="C322" s="85"/>
      <c r="D322" s="85"/>
      <c r="E322" s="85"/>
      <c r="F322" s="85"/>
      <c r="G322" s="85"/>
      <c r="H322" s="85"/>
      <c r="I322" s="85"/>
      <c r="J322" s="85"/>
      <c r="K322" s="85"/>
      <c r="L322" s="85"/>
      <c r="M322" s="85"/>
      <c r="N322" s="206"/>
    </row>
    <row r="323" spans="1:14" ht="18" customHeight="1" x14ac:dyDescent="0.3">
      <c r="A323" s="210" t="s">
        <v>201</v>
      </c>
      <c r="B323" s="88"/>
      <c r="C323" s="93">
        <f>+C321+C320+C319+C314</f>
        <v>0</v>
      </c>
      <c r="D323" s="85"/>
      <c r="E323" s="85"/>
      <c r="F323" s="85"/>
      <c r="G323" s="85"/>
      <c r="H323" s="85"/>
      <c r="I323" s="85"/>
      <c r="J323" s="85"/>
      <c r="K323" s="85"/>
      <c r="L323" s="85"/>
      <c r="M323" s="93">
        <f>+M321+M320+M319+M314</f>
        <v>126404.45447060005</v>
      </c>
      <c r="N323" s="209" t="s">
        <v>752</v>
      </c>
    </row>
    <row r="324" spans="1:14" ht="18" customHeight="1" x14ac:dyDescent="0.3">
      <c r="A324" s="88"/>
      <c r="B324" s="88"/>
      <c r="C324" s="85"/>
      <c r="D324" s="85"/>
      <c r="E324" s="85"/>
      <c r="F324" s="85"/>
      <c r="G324" s="85"/>
      <c r="H324" s="85"/>
      <c r="I324" s="85"/>
      <c r="J324" s="85"/>
      <c r="K324" s="85"/>
      <c r="L324" s="85"/>
      <c r="M324" s="85"/>
      <c r="N324" s="206"/>
    </row>
    <row r="325" spans="1:14" ht="18" customHeight="1" thickBot="1" x14ac:dyDescent="0.35">
      <c r="A325" s="210" t="s">
        <v>754</v>
      </c>
      <c r="B325" s="88"/>
      <c r="C325" s="87">
        <f>+C323+C310+C312</f>
        <v>0</v>
      </c>
      <c r="D325" s="85"/>
      <c r="E325" s="85"/>
      <c r="F325" s="85"/>
      <c r="G325" s="85"/>
      <c r="H325" s="85"/>
      <c r="I325" s="85"/>
      <c r="J325" s="85"/>
      <c r="K325" s="85"/>
      <c r="L325" s="85"/>
      <c r="M325" s="87">
        <f>+M323+M310+M312</f>
        <v>110481.93741175976</v>
      </c>
      <c r="N325" s="209" t="s">
        <v>755</v>
      </c>
    </row>
    <row r="326" spans="1:14" ht="18" customHeight="1" thickTop="1" x14ac:dyDescent="0.3">
      <c r="A326" s="88"/>
      <c r="B326" s="88"/>
      <c r="C326" s="85"/>
      <c r="D326" s="85"/>
      <c r="E326" s="85"/>
      <c r="F326" s="85"/>
      <c r="G326" s="85"/>
      <c r="H326" s="85"/>
      <c r="I326" s="85"/>
      <c r="J326" s="85"/>
      <c r="K326" s="85"/>
      <c r="L326" s="85"/>
      <c r="M326" s="85"/>
      <c r="N326" s="206"/>
    </row>
    <row r="327" spans="1:14" ht="18" customHeight="1" x14ac:dyDescent="0.3">
      <c r="A327" s="88"/>
      <c r="B327" s="88"/>
      <c r="C327" s="85"/>
      <c r="D327" s="85"/>
      <c r="E327" s="85"/>
      <c r="F327" s="85"/>
      <c r="G327" s="85"/>
      <c r="H327" s="85"/>
      <c r="I327" s="85"/>
      <c r="J327" s="85"/>
      <c r="K327" s="85"/>
      <c r="L327" s="85"/>
      <c r="M327" s="85"/>
      <c r="N327" s="206"/>
    </row>
    <row r="328" spans="1:14" ht="18" customHeight="1" x14ac:dyDescent="0.3">
      <c r="A328" s="88"/>
      <c r="B328" s="88"/>
      <c r="C328" s="85"/>
      <c r="D328" s="85"/>
      <c r="E328" s="85"/>
      <c r="F328" s="85"/>
      <c r="G328" s="85"/>
      <c r="H328" s="85"/>
      <c r="I328" s="85"/>
      <c r="J328" s="85"/>
      <c r="K328" s="85"/>
      <c r="L328" s="85"/>
      <c r="M328" s="85"/>
      <c r="N328" s="206"/>
    </row>
    <row r="329" spans="1:14" ht="18" customHeight="1" x14ac:dyDescent="0.3">
      <c r="A329" s="88"/>
      <c r="B329" s="88"/>
      <c r="C329" s="85"/>
      <c r="D329" s="85"/>
      <c r="E329" s="85"/>
      <c r="F329" s="85"/>
      <c r="G329" s="85"/>
      <c r="H329" s="85"/>
      <c r="I329" s="85"/>
      <c r="J329" s="85"/>
      <c r="K329" s="85"/>
      <c r="L329" s="85"/>
      <c r="M329" s="85"/>
      <c r="N329" s="206"/>
    </row>
    <row r="330" spans="1:14" ht="18" customHeight="1" x14ac:dyDescent="0.3">
      <c r="A330" s="88"/>
      <c r="B330" s="88"/>
      <c r="C330" s="85"/>
      <c r="D330" s="85"/>
      <c r="E330" s="85"/>
      <c r="F330" s="85"/>
      <c r="G330" s="85"/>
      <c r="H330" s="85"/>
      <c r="I330" s="85"/>
      <c r="J330" s="85"/>
      <c r="K330" s="85"/>
      <c r="L330" s="85"/>
      <c r="M330" s="85"/>
      <c r="N330" s="206"/>
    </row>
    <row r="331" spans="1:14" ht="18" customHeight="1" x14ac:dyDescent="0.3">
      <c r="A331" s="88"/>
      <c r="B331" s="88"/>
      <c r="C331" s="85"/>
      <c r="D331" s="85"/>
      <c r="E331" s="85"/>
      <c r="F331" s="85"/>
      <c r="G331" s="85"/>
      <c r="H331" s="85"/>
      <c r="I331" s="85"/>
      <c r="J331" s="85"/>
      <c r="K331" s="85"/>
      <c r="L331" s="85"/>
      <c r="M331" s="85"/>
      <c r="N331" s="206"/>
    </row>
    <row r="332" spans="1:14" ht="18" customHeight="1" x14ac:dyDescent="0.3">
      <c r="A332" s="88"/>
      <c r="B332" s="88"/>
      <c r="C332" s="85"/>
      <c r="D332" s="85"/>
      <c r="E332" s="85"/>
      <c r="F332" s="85"/>
      <c r="G332" s="85"/>
      <c r="H332" s="85"/>
      <c r="I332" s="85"/>
      <c r="J332" s="85"/>
      <c r="K332" s="85"/>
      <c r="L332" s="85"/>
      <c r="M332" s="85"/>
      <c r="N332" s="206"/>
    </row>
    <row r="333" spans="1:14" ht="18" customHeight="1" x14ac:dyDescent="0.3">
      <c r="A333" s="88"/>
      <c r="B333" s="88"/>
      <c r="C333" s="85"/>
      <c r="D333" s="85"/>
      <c r="E333" s="85"/>
      <c r="F333" s="85"/>
      <c r="G333" s="85"/>
      <c r="H333" s="85"/>
      <c r="I333" s="85"/>
      <c r="J333" s="85"/>
      <c r="K333" s="85"/>
      <c r="L333" s="85"/>
      <c r="M333" s="85"/>
      <c r="N333" s="206"/>
    </row>
    <row r="334" spans="1:14" ht="18" customHeight="1" x14ac:dyDescent="0.3">
      <c r="A334" s="88"/>
      <c r="B334" s="88"/>
      <c r="C334" s="85"/>
      <c r="D334" s="85"/>
      <c r="E334" s="85"/>
      <c r="F334" s="85"/>
      <c r="G334" s="85"/>
      <c r="H334" s="85"/>
      <c r="I334" s="85"/>
      <c r="J334" s="85"/>
      <c r="K334" s="85"/>
      <c r="L334" s="85"/>
      <c r="M334" s="85"/>
      <c r="N334" s="206"/>
    </row>
    <row r="335" spans="1:14" ht="18" customHeight="1" x14ac:dyDescent="0.3">
      <c r="A335" s="88"/>
      <c r="B335" s="88"/>
      <c r="C335" s="85"/>
      <c r="D335" s="85"/>
      <c r="E335" s="85"/>
      <c r="F335" s="85"/>
      <c r="G335" s="85"/>
      <c r="H335" s="85"/>
      <c r="I335" s="85"/>
      <c r="J335" s="85"/>
      <c r="K335" s="85"/>
      <c r="L335" s="85"/>
      <c r="M335" s="85"/>
      <c r="N335" s="206"/>
    </row>
    <row r="336" spans="1:14" ht="18" customHeight="1" x14ac:dyDescent="0.3">
      <c r="A336" s="88"/>
      <c r="B336" s="88"/>
      <c r="C336" s="85"/>
      <c r="D336" s="85"/>
      <c r="E336" s="85"/>
      <c r="F336" s="85"/>
      <c r="G336" s="85"/>
      <c r="H336" s="85"/>
      <c r="I336" s="85"/>
      <c r="J336" s="85"/>
      <c r="K336" s="85"/>
      <c r="L336" s="85"/>
      <c r="M336" s="85"/>
      <c r="N336" s="206"/>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9"/>
  <sheetViews>
    <sheetView zoomScaleNormal="100" zoomScaleSheetLayoutView="100" workbookViewId="0">
      <selection activeCell="A6" sqref="A6"/>
    </sheetView>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55" t="s">
        <v>218</v>
      </c>
    </row>
    <row r="2" spans="1:1" ht="6" customHeight="1" x14ac:dyDescent="0.3"/>
    <row r="3" spans="1:1" x14ac:dyDescent="0.3">
      <c r="A3" s="124" t="s">
        <v>219</v>
      </c>
    </row>
    <row r="4" spans="1:1" x14ac:dyDescent="0.3">
      <c r="A4" s="125" t="s">
        <v>312</v>
      </c>
    </row>
    <row r="5" spans="1:1" x14ac:dyDescent="0.3">
      <c r="A5" s="125" t="s">
        <v>963</v>
      </c>
    </row>
    <row r="6" spans="1:1" x14ac:dyDescent="0.3">
      <c r="A6" s="125" t="s">
        <v>940</v>
      </c>
    </row>
    <row r="7" spans="1:1" x14ac:dyDescent="0.3">
      <c r="A7" s="125" t="s">
        <v>942</v>
      </c>
    </row>
    <row r="8" spans="1:1" s="375" customFormat="1" x14ac:dyDescent="0.3">
      <c r="A8" s="374" t="s">
        <v>941</v>
      </c>
    </row>
    <row r="9" spans="1:1" x14ac:dyDescent="0.3">
      <c r="A9" s="125" t="s">
        <v>943</v>
      </c>
    </row>
    <row r="10" spans="1:1" x14ac:dyDescent="0.3">
      <c r="A10" s="125" t="s">
        <v>220</v>
      </c>
    </row>
    <row r="11" spans="1:1" x14ac:dyDescent="0.3">
      <c r="A11" s="125" t="s">
        <v>221</v>
      </c>
    </row>
    <row r="12" spans="1:1" x14ac:dyDescent="0.3">
      <c r="A12" s="125" t="s">
        <v>314</v>
      </c>
    </row>
    <row r="13" spans="1:1" x14ac:dyDescent="0.3">
      <c r="A13" s="125" t="s">
        <v>222</v>
      </c>
    </row>
    <row r="15" spans="1:1" x14ac:dyDescent="0.3">
      <c r="A15" s="124" t="s">
        <v>223</v>
      </c>
    </row>
    <row r="16" spans="1:1" x14ac:dyDescent="0.3">
      <c r="A16" t="s">
        <v>888</v>
      </c>
    </row>
    <row r="17" spans="1:1" x14ac:dyDescent="0.3">
      <c r="A17" t="s">
        <v>889</v>
      </c>
    </row>
    <row r="18" spans="1:1" s="366" customFormat="1" x14ac:dyDescent="0.3">
      <c r="A18" s="366" t="s">
        <v>890</v>
      </c>
    </row>
    <row r="19" spans="1:1" s="308" customFormat="1" x14ac:dyDescent="0.3"/>
    <row r="20" spans="1:1" s="308" customFormat="1" x14ac:dyDescent="0.3">
      <c r="A20" s="308" t="s">
        <v>839</v>
      </c>
    </row>
    <row r="21" spans="1:1" s="308" customFormat="1" x14ac:dyDescent="0.3">
      <c r="A21" s="308" t="s">
        <v>840</v>
      </c>
    </row>
    <row r="22" spans="1:1" s="308" customFormat="1" x14ac:dyDescent="0.3">
      <c r="A22" s="308" t="s">
        <v>841</v>
      </c>
    </row>
    <row r="23" spans="1:1" s="308" customFormat="1" x14ac:dyDescent="0.3">
      <c r="A23" s="308" t="s">
        <v>843</v>
      </c>
    </row>
    <row r="24" spans="1:1" s="308" customFormat="1" x14ac:dyDescent="0.3">
      <c r="A24" s="308" t="s">
        <v>842</v>
      </c>
    </row>
    <row r="25" spans="1:1" s="308" customFormat="1" x14ac:dyDescent="0.3">
      <c r="A25" s="308" t="s">
        <v>844</v>
      </c>
    </row>
    <row r="26" spans="1:1" s="308" customFormat="1" x14ac:dyDescent="0.3">
      <c r="A26" s="308" t="s">
        <v>845</v>
      </c>
    </row>
    <row r="27" spans="1:1" s="308" customFormat="1" x14ac:dyDescent="0.3">
      <c r="A27" s="308" t="s">
        <v>846</v>
      </c>
    </row>
    <row r="28" spans="1:1" s="308" customFormat="1" x14ac:dyDescent="0.3">
      <c r="A28" s="308" t="s">
        <v>847</v>
      </c>
    </row>
    <row r="29" spans="1:1" s="308" customFormat="1" x14ac:dyDescent="0.3">
      <c r="A29" s="308" t="s">
        <v>848</v>
      </c>
    </row>
    <row r="30" spans="1:1" s="308" customFormat="1" x14ac:dyDescent="0.3">
      <c r="A30" s="308" t="s">
        <v>891</v>
      </c>
    </row>
    <row r="31" spans="1:1" s="366" customFormat="1" x14ac:dyDescent="0.3">
      <c r="A31" s="366" t="s">
        <v>892</v>
      </c>
    </row>
    <row r="32" spans="1:1" s="308" customFormat="1" x14ac:dyDescent="0.3"/>
    <row r="33" spans="1:6" s="308" customFormat="1" x14ac:dyDescent="0.3">
      <c r="A33" s="308" t="s">
        <v>849</v>
      </c>
    </row>
    <row r="34" spans="1:6" s="308" customFormat="1" x14ac:dyDescent="0.3">
      <c r="A34" s="308" t="s">
        <v>850</v>
      </c>
    </row>
    <row r="35" spans="1:6" s="308" customFormat="1" x14ac:dyDescent="0.3">
      <c r="A35" s="308" t="s">
        <v>860</v>
      </c>
    </row>
    <row r="36" spans="1:6" s="308" customFormat="1" x14ac:dyDescent="0.3">
      <c r="A36" s="308" t="s">
        <v>851</v>
      </c>
    </row>
    <row r="37" spans="1:6" s="308" customFormat="1" x14ac:dyDescent="0.3">
      <c r="A37" s="308" t="s">
        <v>861</v>
      </c>
    </row>
    <row r="38" spans="1:6" s="308" customFormat="1" x14ac:dyDescent="0.3">
      <c r="A38" s="308" t="s">
        <v>858</v>
      </c>
    </row>
    <row r="39" spans="1:6" s="308" customFormat="1" x14ac:dyDescent="0.3">
      <c r="A39" s="308" t="s">
        <v>852</v>
      </c>
    </row>
    <row r="40" spans="1:6" s="308" customFormat="1" x14ac:dyDescent="0.3">
      <c r="A40" s="308" t="s">
        <v>853</v>
      </c>
    </row>
    <row r="41" spans="1:6" s="308" customFormat="1" x14ac:dyDescent="0.3">
      <c r="A41" s="308" t="s">
        <v>854</v>
      </c>
    </row>
    <row r="42" spans="1:6" s="308" customFormat="1" x14ac:dyDescent="0.3">
      <c r="A42" s="308" t="s">
        <v>855</v>
      </c>
    </row>
    <row r="43" spans="1:6" s="308" customFormat="1" x14ac:dyDescent="0.3"/>
    <row r="44" spans="1:6" s="61" customFormat="1" ht="13.5" customHeight="1" x14ac:dyDescent="0.3">
      <c r="A44" s="61" t="s">
        <v>859</v>
      </c>
    </row>
    <row r="45" spans="1:6" s="61" customFormat="1" ht="6" customHeight="1" x14ac:dyDescent="0.3"/>
    <row r="46" spans="1:6" s="61" customFormat="1" ht="13.5" customHeight="1" x14ac:dyDescent="0.3">
      <c r="A46" s="126" t="s">
        <v>224</v>
      </c>
      <c r="B46" s="426" t="s">
        <v>822</v>
      </c>
      <c r="C46" s="426"/>
      <c r="D46" s="426"/>
      <c r="E46" s="426"/>
      <c r="F46" s="426"/>
    </row>
    <row r="47" spans="1:6" s="61" customFormat="1" ht="13.5" customHeight="1" x14ac:dyDescent="0.3">
      <c r="B47" s="427" t="s">
        <v>821</v>
      </c>
      <c r="C47" s="427"/>
      <c r="D47" s="427"/>
      <c r="E47" s="427"/>
      <c r="F47" s="427"/>
    </row>
    <row r="48" spans="1:6" s="61" customFormat="1" ht="13.5" customHeight="1" x14ac:dyDescent="0.3">
      <c r="A48" s="126" t="s">
        <v>224</v>
      </c>
      <c r="B48" s="427" t="s">
        <v>823</v>
      </c>
      <c r="C48" s="427"/>
      <c r="D48" s="427"/>
      <c r="E48" s="427"/>
      <c r="F48" s="427"/>
    </row>
    <row r="49" spans="1:6" s="61" customFormat="1" ht="13.5" customHeight="1" x14ac:dyDescent="0.3">
      <c r="B49" s="126" t="s">
        <v>224</v>
      </c>
      <c r="C49" s="427" t="s">
        <v>828</v>
      </c>
      <c r="D49" s="427"/>
      <c r="E49" s="427"/>
      <c r="F49" s="427"/>
    </row>
    <row r="50" spans="1:6" s="61" customFormat="1" ht="13.5" customHeight="1" x14ac:dyDescent="0.3">
      <c r="A50" s="126" t="s">
        <v>224</v>
      </c>
      <c r="B50" s="427" t="s">
        <v>824</v>
      </c>
      <c r="C50" s="427"/>
      <c r="D50" s="427"/>
      <c r="E50" s="427"/>
      <c r="F50" s="427"/>
    </row>
    <row r="51" spans="1:6" s="61" customFormat="1" ht="13.5" customHeight="1" x14ac:dyDescent="0.3">
      <c r="B51" s="126" t="s">
        <v>224</v>
      </c>
      <c r="C51" s="427" t="s">
        <v>825</v>
      </c>
      <c r="D51" s="427"/>
      <c r="E51" s="427"/>
      <c r="F51" s="427"/>
    </row>
    <row r="52" spans="1:6" s="61" customFormat="1" ht="13.5" customHeight="1" x14ac:dyDescent="0.3">
      <c r="C52" s="425" t="s">
        <v>827</v>
      </c>
      <c r="D52" s="425"/>
      <c r="E52" s="425"/>
      <c r="F52" s="425"/>
    </row>
    <row r="53" spans="1:6" s="61" customFormat="1" ht="13.5" customHeight="1" x14ac:dyDescent="0.3">
      <c r="C53" s="425" t="s">
        <v>826</v>
      </c>
      <c r="D53" s="425"/>
      <c r="E53" s="425"/>
      <c r="F53" s="425"/>
    </row>
    <row r="54" spans="1:6" s="366" customFormat="1" ht="6.75" customHeight="1" x14ac:dyDescent="0.3">
      <c r="C54" s="365"/>
      <c r="D54" s="365"/>
      <c r="E54" s="365"/>
      <c r="F54" s="365"/>
    </row>
    <row r="55" spans="1:6" s="366" customFormat="1" ht="13.5" customHeight="1" x14ac:dyDescent="0.3">
      <c r="A55" s="366" t="s">
        <v>893</v>
      </c>
      <c r="C55" s="365"/>
      <c r="D55" s="365"/>
      <c r="E55" s="365"/>
      <c r="F55" s="365"/>
    </row>
    <row r="56" spans="1:6" s="61" customFormat="1" ht="13.5" customHeight="1" x14ac:dyDescent="0.3">
      <c r="C56" s="303"/>
      <c r="D56" s="303"/>
      <c r="E56" s="303"/>
      <c r="F56" s="303"/>
    </row>
    <row r="57" spans="1:6" x14ac:dyDescent="0.3">
      <c r="A57" t="s">
        <v>225</v>
      </c>
    </row>
    <row r="58" spans="1:6" x14ac:dyDescent="0.3">
      <c r="A58" t="s">
        <v>226</v>
      </c>
    </row>
    <row r="60" spans="1:6" s="128" customFormat="1" x14ac:dyDescent="0.3">
      <c r="A60" s="128" t="s">
        <v>764</v>
      </c>
    </row>
    <row r="61" spans="1:6" s="128" customFormat="1" x14ac:dyDescent="0.3">
      <c r="A61" s="128" t="s">
        <v>227</v>
      </c>
    </row>
    <row r="62" spans="1:6" ht="6" customHeight="1" x14ac:dyDescent="0.3"/>
    <row r="63" spans="1:6" x14ac:dyDescent="0.3">
      <c r="A63" s="128" t="s">
        <v>765</v>
      </c>
    </row>
    <row r="64" spans="1:6" x14ac:dyDescent="0.3">
      <c r="A64" s="128" t="s">
        <v>228</v>
      </c>
    </row>
    <row r="66" spans="1:3" x14ac:dyDescent="0.3">
      <c r="A66" s="124" t="s">
        <v>229</v>
      </c>
    </row>
    <row r="67" spans="1:3" x14ac:dyDescent="0.3">
      <c r="A67" t="s">
        <v>230</v>
      </c>
    </row>
    <row r="68" spans="1:3" x14ac:dyDescent="0.3">
      <c r="A68" t="s">
        <v>231</v>
      </c>
    </row>
    <row r="69" spans="1:3" x14ac:dyDescent="0.3">
      <c r="A69" t="s">
        <v>232</v>
      </c>
    </row>
    <row r="70" spans="1:3" x14ac:dyDescent="0.3">
      <c r="A70" t="s">
        <v>233</v>
      </c>
    </row>
    <row r="71" spans="1:3" x14ac:dyDescent="0.3">
      <c r="A71" t="s">
        <v>868</v>
      </c>
    </row>
    <row r="72" spans="1:3" s="335" customFormat="1" x14ac:dyDescent="0.3">
      <c r="A72" s="335" t="s">
        <v>867</v>
      </c>
    </row>
    <row r="73" spans="1:3" x14ac:dyDescent="0.3">
      <c r="A73" t="s">
        <v>944</v>
      </c>
    </row>
    <row r="74" spans="1:3" s="61" customFormat="1" x14ac:dyDescent="0.3">
      <c r="B74" s="131" t="s">
        <v>234</v>
      </c>
      <c r="C74" s="131" t="s">
        <v>61</v>
      </c>
    </row>
    <row r="75" spans="1:3" x14ac:dyDescent="0.3">
      <c r="B75">
        <v>2023</v>
      </c>
      <c r="C75" s="78">
        <f>'Contributions &amp; Covered Payroll'!T25</f>
        <v>61838.74</v>
      </c>
    </row>
    <row r="76" spans="1:3" x14ac:dyDescent="0.3">
      <c r="B76">
        <v>2022</v>
      </c>
      <c r="C76" s="78">
        <f>'Contributions &amp; Covered Payroll'!R25</f>
        <v>59974.98</v>
      </c>
    </row>
    <row r="77" spans="1:3" x14ac:dyDescent="0.3">
      <c r="B77">
        <v>2021</v>
      </c>
      <c r="C77" s="78">
        <f>'Contributions &amp; Covered Payroll'!P25</f>
        <v>56481.979999999996</v>
      </c>
    </row>
    <row r="79" spans="1:3" x14ac:dyDescent="0.3">
      <c r="A79" s="128" t="s">
        <v>254</v>
      </c>
    </row>
    <row r="81" spans="1:7" x14ac:dyDescent="0.3">
      <c r="A81" s="128" t="s">
        <v>766</v>
      </c>
    </row>
    <row r="82" spans="1:7" x14ac:dyDescent="0.3">
      <c r="A82" s="128" t="s">
        <v>767</v>
      </c>
    </row>
    <row r="83" spans="1:7" x14ac:dyDescent="0.3">
      <c r="A83" s="128" t="s">
        <v>235</v>
      </c>
    </row>
    <row r="85" spans="1:7" x14ac:dyDescent="0.3">
      <c r="A85" s="124" t="s">
        <v>780</v>
      </c>
    </row>
    <row r="86" spans="1:7" x14ac:dyDescent="0.3">
      <c r="A86" s="124" t="s">
        <v>255</v>
      </c>
    </row>
    <row r="87" spans="1:7" x14ac:dyDescent="0.3">
      <c r="A87" t="s">
        <v>945</v>
      </c>
    </row>
    <row r="88" spans="1:7" x14ac:dyDescent="0.3">
      <c r="A88" t="s">
        <v>812</v>
      </c>
    </row>
    <row r="89" spans="1:7" x14ac:dyDescent="0.3">
      <c r="A89" t="s">
        <v>946</v>
      </c>
    </row>
    <row r="90" spans="1:7" x14ac:dyDescent="0.3">
      <c r="A90" t="s">
        <v>947</v>
      </c>
    </row>
    <row r="91" spans="1:7" s="61" customFormat="1" x14ac:dyDescent="0.3"/>
    <row r="92" spans="1:7" x14ac:dyDescent="0.3">
      <c r="B92" s="61" t="s">
        <v>759</v>
      </c>
      <c r="F92" s="78">
        <f>14490692654*Calculations!H26</f>
        <v>5662672.8753301203</v>
      </c>
      <c r="G92" s="153"/>
    </row>
    <row r="93" spans="1:7" x14ac:dyDescent="0.3">
      <c r="F93" s="79"/>
      <c r="G93" s="154"/>
    </row>
    <row r="94" spans="1:7" x14ac:dyDescent="0.3">
      <c r="B94" t="s">
        <v>760</v>
      </c>
      <c r="F94" s="133">
        <f>14500453104*Calculations!H26</f>
        <v>5666487.0639811205</v>
      </c>
      <c r="G94" s="153"/>
    </row>
    <row r="95" spans="1:7" x14ac:dyDescent="0.3">
      <c r="F95" s="79"/>
      <c r="G95" s="154"/>
    </row>
    <row r="96" spans="1:7" ht="15" thickBot="1" x14ac:dyDescent="0.35">
      <c r="B96" s="61" t="s">
        <v>236</v>
      </c>
      <c r="F96" s="134">
        <f>-9760450*Calculations!H26</f>
        <v>-3814.1886510000004</v>
      </c>
      <c r="G96" s="153"/>
    </row>
    <row r="97" spans="1:7" ht="15" thickTop="1" x14ac:dyDescent="0.3">
      <c r="G97" s="88"/>
    </row>
    <row r="98" spans="1:7" x14ac:dyDescent="0.3">
      <c r="A98" s="425" t="s">
        <v>948</v>
      </c>
      <c r="B98" s="425"/>
      <c r="C98" s="425"/>
      <c r="D98" s="425"/>
      <c r="E98" s="425"/>
      <c r="F98" s="138">
        <f>F96</f>
        <v>-3814.1886510000004</v>
      </c>
      <c r="G98" s="132"/>
    </row>
    <row r="99" spans="1:7" x14ac:dyDescent="0.3">
      <c r="A99" t="s">
        <v>761</v>
      </c>
    </row>
    <row r="100" spans="1:7" x14ac:dyDescent="0.3">
      <c r="A100" t="s">
        <v>949</v>
      </c>
    </row>
    <row r="101" spans="1:7" x14ac:dyDescent="0.3">
      <c r="A101" t="s">
        <v>762</v>
      </c>
    </row>
    <row r="102" spans="1:7" x14ac:dyDescent="0.3">
      <c r="A102" t="s">
        <v>950</v>
      </c>
    </row>
    <row r="103" spans="1:7" x14ac:dyDescent="0.3">
      <c r="A103" t="s">
        <v>763</v>
      </c>
      <c r="D103" s="135">
        <f>Calculations!H26</f>
        <v>3.9078000000000002E-4</v>
      </c>
      <c r="E103" t="s">
        <v>237</v>
      </c>
    </row>
    <row r="104" spans="1:7" x14ac:dyDescent="0.3">
      <c r="A104" s="136">
        <f>ROUND(Calculations!H26-Calculations!H25,10)</f>
        <v>-2.4320000000000001E-5</v>
      </c>
      <c r="B104" t="s">
        <v>951</v>
      </c>
    </row>
    <row r="105" spans="1:7" ht="9" customHeight="1" x14ac:dyDescent="0.3"/>
    <row r="106" spans="1:7" x14ac:dyDescent="0.3">
      <c r="A106" s="128" t="s">
        <v>239</v>
      </c>
    </row>
    <row r="107" spans="1:7" x14ac:dyDescent="0.3">
      <c r="A107" s="128" t="s">
        <v>768</v>
      </c>
    </row>
    <row r="108" spans="1:7" x14ac:dyDescent="0.3">
      <c r="A108" s="128" t="s">
        <v>238</v>
      </c>
    </row>
    <row r="109" spans="1:7" ht="8.25" customHeight="1" x14ac:dyDescent="0.3"/>
    <row r="110" spans="1:7" x14ac:dyDescent="0.3">
      <c r="A110" s="128" t="s">
        <v>256</v>
      </c>
    </row>
    <row r="111" spans="1:7" x14ac:dyDescent="0.3">
      <c r="A111" s="128" t="s">
        <v>240</v>
      </c>
    </row>
    <row r="112" spans="1:7" x14ac:dyDescent="0.3">
      <c r="A112" s="128" t="s">
        <v>769</v>
      </c>
    </row>
    <row r="113" spans="1:6" x14ac:dyDescent="0.3">
      <c r="A113" s="128" t="s">
        <v>241</v>
      </c>
    </row>
    <row r="115" spans="1:6" x14ac:dyDescent="0.3">
      <c r="A115" s="137" t="s">
        <v>952</v>
      </c>
    </row>
    <row r="116" spans="1:6" x14ac:dyDescent="0.3">
      <c r="A116" s="219" t="s">
        <v>770</v>
      </c>
      <c r="B116" s="138">
        <f>'Statement of Activities Wrkst'!M123</f>
        <v>15922.517058840287</v>
      </c>
      <c r="C116" s="61" t="s">
        <v>953</v>
      </c>
    </row>
    <row r="117" spans="1:6" x14ac:dyDescent="0.3">
      <c r="A117" t="s">
        <v>771</v>
      </c>
    </row>
    <row r="119" spans="1:6" x14ac:dyDescent="0.3">
      <c r="E119" s="130" t="s">
        <v>242</v>
      </c>
      <c r="F119" s="130" t="s">
        <v>244</v>
      </c>
    </row>
    <row r="120" spans="1:6" x14ac:dyDescent="0.3">
      <c r="E120" s="139" t="s">
        <v>243</v>
      </c>
      <c r="F120" s="139" t="s">
        <v>243</v>
      </c>
    </row>
    <row r="121" spans="1:6" x14ac:dyDescent="0.3">
      <c r="A121" t="s">
        <v>245</v>
      </c>
    </row>
    <row r="122" spans="1:6" x14ac:dyDescent="0.3">
      <c r="A122" t="s">
        <v>246</v>
      </c>
      <c r="E122" s="78">
        <f>276664646*Calculations!H26</f>
        <v>108115.01036388001</v>
      </c>
      <c r="F122" s="78"/>
    </row>
    <row r="123" spans="1:6" x14ac:dyDescent="0.3">
      <c r="E123" s="79"/>
      <c r="F123" s="79"/>
    </row>
    <row r="124" spans="1:6" x14ac:dyDescent="0.3">
      <c r="A124" t="s">
        <v>247</v>
      </c>
      <c r="E124" s="78">
        <f>333696082*Calculations!H26</f>
        <v>130401.75492396</v>
      </c>
      <c r="F124" s="78">
        <f>487789387*Calculations!H26</f>
        <v>190618.33665186001</v>
      </c>
    </row>
    <row r="125" spans="1:6" x14ac:dyDescent="0.3">
      <c r="E125" s="79"/>
      <c r="F125" s="79"/>
    </row>
    <row r="126" spans="1:6" x14ac:dyDescent="0.3">
      <c r="A126" t="s">
        <v>253</v>
      </c>
      <c r="E126" s="78">
        <f>64981699*Calculations!H26</f>
        <v>25393.548335220003</v>
      </c>
      <c r="F126" s="78"/>
    </row>
    <row r="127" spans="1:6" x14ac:dyDescent="0.3">
      <c r="A127" t="s">
        <v>248</v>
      </c>
      <c r="E127" s="78"/>
      <c r="F127" s="78"/>
    </row>
    <row r="128" spans="1:6" x14ac:dyDescent="0.3">
      <c r="E128" s="79"/>
      <c r="F128" s="79"/>
    </row>
    <row r="129" spans="1:7" x14ac:dyDescent="0.3">
      <c r="A129" t="s">
        <v>249</v>
      </c>
      <c r="E129" s="79"/>
      <c r="F129" s="79"/>
    </row>
    <row r="130" spans="1:7" x14ac:dyDescent="0.3">
      <c r="A130" t="s">
        <v>778</v>
      </c>
      <c r="E130" s="79"/>
      <c r="F130" s="79"/>
    </row>
    <row r="131" spans="1:7" x14ac:dyDescent="0.3">
      <c r="A131" t="s">
        <v>160</v>
      </c>
      <c r="E131" s="138">
        <f>'Change in Proportionate Share'!M39</f>
        <v>4513.817281920039</v>
      </c>
      <c r="F131" s="138">
        <f>-'Change in Proportionate Share'!M59</f>
        <v>2737.77</v>
      </c>
    </row>
    <row r="132" spans="1:7" x14ac:dyDescent="0.3">
      <c r="E132" s="79"/>
      <c r="F132" s="79"/>
    </row>
    <row r="133" spans="1:7" x14ac:dyDescent="0.3">
      <c r="A133" t="s">
        <v>781</v>
      </c>
      <c r="E133" s="79"/>
      <c r="F133" s="79"/>
    </row>
    <row r="134" spans="1:7" x14ac:dyDescent="0.3">
      <c r="A134" t="s">
        <v>250</v>
      </c>
      <c r="E134" s="142">
        <f>Calculations!H195</f>
        <v>31599.719999999998</v>
      </c>
      <c r="F134" s="143"/>
    </row>
    <row r="135" spans="1:7" x14ac:dyDescent="0.3">
      <c r="E135" s="79"/>
      <c r="F135" s="79"/>
    </row>
    <row r="136" spans="1:7" ht="15" thickBot="1" x14ac:dyDescent="0.35">
      <c r="D136" s="61" t="s">
        <v>251</v>
      </c>
      <c r="E136" s="144">
        <f>SUM(E122:E134)</f>
        <v>300023.85090498003</v>
      </c>
      <c r="F136" s="134">
        <f>SUM(F122:F134)</f>
        <v>193356.10665186</v>
      </c>
      <c r="G136" s="251" t="s">
        <v>261</v>
      </c>
    </row>
    <row r="137" spans="1:7" ht="8.25" customHeight="1" thickTop="1" x14ac:dyDescent="0.3"/>
    <row r="138" spans="1:7" x14ac:dyDescent="0.3">
      <c r="A138" s="128" t="s">
        <v>267</v>
      </c>
    </row>
    <row r="139" spans="1:7" x14ac:dyDescent="0.3">
      <c r="A139" s="128" t="s">
        <v>252</v>
      </c>
    </row>
    <row r="140" spans="1:7" ht="8.25" customHeight="1" x14ac:dyDescent="0.3"/>
    <row r="141" spans="1:7" x14ac:dyDescent="0.3">
      <c r="A141" s="138">
        <f>E134</f>
        <v>31599.719999999998</v>
      </c>
      <c r="B141" t="s">
        <v>772</v>
      </c>
    </row>
    <row r="142" spans="1:7" x14ac:dyDescent="0.3">
      <c r="A142" t="s">
        <v>773</v>
      </c>
    </row>
    <row r="143" spans="1:7" x14ac:dyDescent="0.3">
      <c r="A143" t="s">
        <v>954</v>
      </c>
    </row>
    <row r="144" spans="1:7" x14ac:dyDescent="0.3">
      <c r="A144" t="s">
        <v>257</v>
      </c>
    </row>
    <row r="145" spans="1:10" x14ac:dyDescent="0.3">
      <c r="A145" t="s">
        <v>774</v>
      </c>
    </row>
    <row r="146" spans="1:10" ht="9.75" customHeight="1" x14ac:dyDescent="0.3"/>
    <row r="147" spans="1:10" x14ac:dyDescent="0.3">
      <c r="B147" t="s">
        <v>258</v>
      </c>
    </row>
    <row r="148" spans="1:10" x14ac:dyDescent="0.3">
      <c r="A148" s="140" t="s">
        <v>259</v>
      </c>
      <c r="B148" s="259" t="s">
        <v>801</v>
      </c>
    </row>
    <row r="149" spans="1:10" ht="6.75" customHeight="1" x14ac:dyDescent="0.3"/>
    <row r="150" spans="1:10" x14ac:dyDescent="0.3">
      <c r="B150" s="61">
        <v>2024</v>
      </c>
      <c r="C150" s="129">
        <f>132920511*Calculations!H26+'Change in Proportionate Share'!N37+'Change in Proportionate Share'!N57</f>
        <v>51939.207288580001</v>
      </c>
    </row>
    <row r="151" spans="1:10" x14ac:dyDescent="0.3">
      <c r="B151" s="61">
        <v>2025</v>
      </c>
      <c r="C151" s="129">
        <f>-148006251*Calculations!H26+'Change in Proportionate Share'!O37+'Change in Proportionate Share'!O57</f>
        <v>-57469.532765780008</v>
      </c>
    </row>
    <row r="152" spans="1:10" x14ac:dyDescent="0.3">
      <c r="B152" s="61">
        <v>2026</v>
      </c>
      <c r="C152" s="129">
        <f>188910626*Calculations!H26+'Change in Proportionate Share'!P37+'Change in Proportionate Share'!P57</f>
        <v>74788.19442828001</v>
      </c>
    </row>
    <row r="153" spans="1:10" x14ac:dyDescent="0.3">
      <c r="B153" s="61">
        <v>2027</v>
      </c>
      <c r="C153" s="129">
        <f>13728154*Calculations!H26+'Change in Proportionate Share'!Q37+'Change in Proportionate Share'!Q57</f>
        <v>5810.1553020400388</v>
      </c>
      <c r="J153" s="68"/>
    </row>
    <row r="154" spans="1:10" x14ac:dyDescent="0.3">
      <c r="B154">
        <v>2028</v>
      </c>
      <c r="C154" s="129">
        <f>'Change in Proportionate Share'!R37+'Change in Proportionate Share'!R57</f>
        <v>0</v>
      </c>
    </row>
    <row r="155" spans="1:10" x14ac:dyDescent="0.3">
      <c r="B155" t="s">
        <v>260</v>
      </c>
      <c r="C155" s="129">
        <f>'Change in Proportionate Share'!S37+'Change in Proportionate Share'!S57</f>
        <v>0</v>
      </c>
    </row>
    <row r="156" spans="1:10" ht="6" customHeight="1" x14ac:dyDescent="0.3">
      <c r="C156" s="79"/>
    </row>
    <row r="157" spans="1:10" ht="15" thickBot="1" x14ac:dyDescent="0.35">
      <c r="B157" s="141" t="s">
        <v>251</v>
      </c>
      <c r="C157" s="145">
        <f>SUM(C150:C156)</f>
        <v>75068.024253120035</v>
      </c>
      <c r="D157" s="251" t="s">
        <v>261</v>
      </c>
    </row>
    <row r="158" spans="1:10" ht="15" thickTop="1" x14ac:dyDescent="0.3"/>
    <row r="159" spans="1:10" x14ac:dyDescent="0.3">
      <c r="A159" s="124" t="s">
        <v>262</v>
      </c>
    </row>
    <row r="160" spans="1:10" x14ac:dyDescent="0.3">
      <c r="A160" t="s">
        <v>955</v>
      </c>
    </row>
    <row r="161" spans="1:6" x14ac:dyDescent="0.3">
      <c r="A161" t="s">
        <v>263</v>
      </c>
    </row>
    <row r="162" spans="1:6" ht="6.75" customHeight="1" x14ac:dyDescent="0.3"/>
    <row r="163" spans="1:6" x14ac:dyDescent="0.3">
      <c r="A163" s="146"/>
      <c r="B163" s="141" t="s">
        <v>264</v>
      </c>
      <c r="C163" s="341" t="s">
        <v>894</v>
      </c>
    </row>
    <row r="164" spans="1:6" s="61" customFormat="1" ht="6.75" customHeight="1" x14ac:dyDescent="0.3">
      <c r="A164" s="141"/>
      <c r="B164" s="141"/>
      <c r="C164" s="127"/>
    </row>
    <row r="165" spans="1:6" x14ac:dyDescent="0.3">
      <c r="A165" s="146"/>
      <c r="B165" s="141" t="s">
        <v>265</v>
      </c>
      <c r="C165" s="146" t="s">
        <v>895</v>
      </c>
    </row>
    <row r="166" spans="1:6" s="61" customFormat="1" ht="9" customHeight="1" x14ac:dyDescent="0.3">
      <c r="A166" s="141"/>
      <c r="B166" s="141"/>
    </row>
    <row r="167" spans="1:6" ht="31.5" customHeight="1" x14ac:dyDescent="0.3">
      <c r="A167" s="147"/>
      <c r="B167" s="357" t="s">
        <v>813</v>
      </c>
      <c r="C167" s="428" t="s">
        <v>896</v>
      </c>
      <c r="D167" s="428"/>
      <c r="E167" s="428"/>
      <c r="F167" s="428"/>
    </row>
    <row r="168" spans="1:6" s="337" customFormat="1" ht="6.75" customHeight="1" x14ac:dyDescent="0.3">
      <c r="A168" s="147"/>
      <c r="B168" s="148"/>
    </row>
    <row r="169" spans="1:6" s="337" customFormat="1" x14ac:dyDescent="0.3">
      <c r="A169" s="147"/>
      <c r="B169" s="339" t="s">
        <v>872</v>
      </c>
      <c r="C169" s="340" t="s">
        <v>956</v>
      </c>
    </row>
    <row r="170" spans="1:6" x14ac:dyDescent="0.3">
      <c r="A170" s="424"/>
      <c r="B170" s="424"/>
      <c r="C170" s="61"/>
    </row>
    <row r="171" spans="1:6" s="366" customFormat="1" x14ac:dyDescent="0.3">
      <c r="A171" s="365" t="s">
        <v>897</v>
      </c>
      <c r="B171" s="364"/>
    </row>
    <row r="172" spans="1:6" s="366" customFormat="1" x14ac:dyDescent="0.3">
      <c r="A172" s="364"/>
      <c r="B172" s="365" t="s">
        <v>898</v>
      </c>
    </row>
    <row r="173" spans="1:6" s="366" customFormat="1" x14ac:dyDescent="0.3">
      <c r="A173" s="364"/>
      <c r="B173" s="365" t="s">
        <v>899</v>
      </c>
    </row>
    <row r="174" spans="1:6" s="366" customFormat="1" x14ac:dyDescent="0.3">
      <c r="A174" s="364"/>
      <c r="B174" s="365" t="s">
        <v>900</v>
      </c>
    </row>
    <row r="175" spans="1:6" s="366" customFormat="1" x14ac:dyDescent="0.3">
      <c r="A175" s="364"/>
      <c r="B175" s="365" t="s">
        <v>901</v>
      </c>
    </row>
    <row r="176" spans="1:6" s="366" customFormat="1" x14ac:dyDescent="0.3">
      <c r="A176" s="364"/>
      <c r="B176" s="365" t="s">
        <v>902</v>
      </c>
    </row>
    <row r="177" spans="1:2" s="366" customFormat="1" x14ac:dyDescent="0.3">
      <c r="A177" s="364"/>
      <c r="B177" s="365" t="s">
        <v>903</v>
      </c>
    </row>
    <row r="178" spans="1:2" s="366" customFormat="1" x14ac:dyDescent="0.3">
      <c r="A178" s="364"/>
      <c r="B178" s="365" t="s">
        <v>904</v>
      </c>
    </row>
    <row r="179" spans="1:2" s="366" customFormat="1" x14ac:dyDescent="0.3">
      <c r="A179" s="364"/>
      <c r="B179" s="365" t="s">
        <v>905</v>
      </c>
    </row>
    <row r="180" spans="1:2" s="366" customFormat="1" x14ac:dyDescent="0.3">
      <c r="A180" s="364"/>
      <c r="B180" s="365" t="s">
        <v>914</v>
      </c>
    </row>
    <row r="181" spans="1:2" s="366" customFormat="1" x14ac:dyDescent="0.3">
      <c r="A181" s="364"/>
      <c r="B181" s="365" t="s">
        <v>906</v>
      </c>
    </row>
    <row r="182" spans="1:2" s="366" customFormat="1" x14ac:dyDescent="0.3">
      <c r="A182" s="364"/>
      <c r="B182" s="365" t="s">
        <v>907</v>
      </c>
    </row>
    <row r="183" spans="1:2" s="366" customFormat="1" x14ac:dyDescent="0.3">
      <c r="A183" s="364"/>
      <c r="B183" s="365" t="s">
        <v>908</v>
      </c>
    </row>
    <row r="184" spans="1:2" s="366" customFormat="1" x14ac:dyDescent="0.3">
      <c r="A184" s="364"/>
      <c r="B184" s="365" t="s">
        <v>909</v>
      </c>
    </row>
    <row r="185" spans="1:2" s="366" customFormat="1" x14ac:dyDescent="0.3">
      <c r="A185" s="364"/>
      <c r="B185" s="365" t="s">
        <v>910</v>
      </c>
    </row>
    <row r="186" spans="1:2" s="366" customFormat="1" x14ac:dyDescent="0.3">
      <c r="A186" s="364"/>
      <c r="B186" s="365" t="s">
        <v>911</v>
      </c>
    </row>
    <row r="187" spans="1:2" s="366" customFormat="1" x14ac:dyDescent="0.3">
      <c r="A187" s="364"/>
      <c r="B187" s="365" t="s">
        <v>913</v>
      </c>
    </row>
    <row r="188" spans="1:2" s="366" customFormat="1" x14ac:dyDescent="0.3">
      <c r="A188" s="364"/>
      <c r="B188" s="364" t="s">
        <v>912</v>
      </c>
    </row>
    <row r="189" spans="1:2" s="73" customFormat="1" x14ac:dyDescent="0.3">
      <c r="A189" s="73" t="s">
        <v>957</v>
      </c>
    </row>
    <row r="190" spans="1:2" s="73" customFormat="1" x14ac:dyDescent="0.3">
      <c r="A190" s="73" t="s">
        <v>958</v>
      </c>
    </row>
    <row r="191" spans="1:2" s="73" customFormat="1" x14ac:dyDescent="0.3"/>
    <row r="192" spans="1:2" x14ac:dyDescent="0.3">
      <c r="A192" s="128" t="s">
        <v>776</v>
      </c>
    </row>
    <row r="193" spans="1:1" x14ac:dyDescent="0.3">
      <c r="A193" s="128" t="s">
        <v>775</v>
      </c>
    </row>
    <row r="194" spans="1:1" x14ac:dyDescent="0.3">
      <c r="A194" s="128" t="s">
        <v>266</v>
      </c>
    </row>
    <row r="196" spans="1:1" x14ac:dyDescent="0.3">
      <c r="A196" s="137" t="s">
        <v>268</v>
      </c>
    </row>
    <row r="197" spans="1:1" x14ac:dyDescent="0.3">
      <c r="A197" s="137" t="s">
        <v>269</v>
      </c>
    </row>
    <row r="198" spans="1:1" x14ac:dyDescent="0.3">
      <c r="A198" s="137" t="s">
        <v>270</v>
      </c>
    </row>
    <row r="199" spans="1:1" x14ac:dyDescent="0.3">
      <c r="A199" s="137" t="s">
        <v>271</v>
      </c>
    </row>
    <row r="200" spans="1:1" x14ac:dyDescent="0.3">
      <c r="A200" s="137" t="s">
        <v>272</v>
      </c>
    </row>
    <row r="201" spans="1:1" x14ac:dyDescent="0.3">
      <c r="A201" s="137" t="s">
        <v>273</v>
      </c>
    </row>
    <row r="202" spans="1:1" x14ac:dyDescent="0.3">
      <c r="A202" s="137" t="s">
        <v>274</v>
      </c>
    </row>
    <row r="203" spans="1:1" x14ac:dyDescent="0.3">
      <c r="A203" s="137" t="s">
        <v>275</v>
      </c>
    </row>
    <row r="204" spans="1:1" x14ac:dyDescent="0.3">
      <c r="A204" s="137" t="s">
        <v>276</v>
      </c>
    </row>
    <row r="205" spans="1:1" x14ac:dyDescent="0.3">
      <c r="A205" s="137" t="s">
        <v>277</v>
      </c>
    </row>
    <row r="206" spans="1:1" x14ac:dyDescent="0.3">
      <c r="A206" s="137" t="s">
        <v>278</v>
      </c>
    </row>
    <row r="207" spans="1:1" x14ac:dyDescent="0.3">
      <c r="A207" s="137" t="s">
        <v>279</v>
      </c>
    </row>
    <row r="208" spans="1:1" x14ac:dyDescent="0.3">
      <c r="A208" s="137" t="s">
        <v>959</v>
      </c>
    </row>
    <row r="209" spans="1:6" x14ac:dyDescent="0.3">
      <c r="A209" s="137" t="s">
        <v>280</v>
      </c>
    </row>
    <row r="210" spans="1:6" ht="8.25" customHeight="1" x14ac:dyDescent="0.3"/>
    <row r="211" spans="1:6" s="61" customFormat="1" x14ac:dyDescent="0.3">
      <c r="D211" s="130" t="s">
        <v>282</v>
      </c>
      <c r="E211" s="130" t="s">
        <v>283</v>
      </c>
      <c r="F211" s="130"/>
    </row>
    <row r="212" spans="1:6" x14ac:dyDescent="0.3">
      <c r="B212" s="149" t="s">
        <v>281</v>
      </c>
      <c r="C212" s="149"/>
      <c r="D212" s="139" t="s">
        <v>16</v>
      </c>
      <c r="E212" s="139" t="s">
        <v>284</v>
      </c>
      <c r="F212" s="139"/>
    </row>
    <row r="213" spans="1:6" ht="7.5" customHeight="1" x14ac:dyDescent="0.3">
      <c r="E213" s="61"/>
    </row>
    <row r="214" spans="1:6" x14ac:dyDescent="0.3">
      <c r="B214" t="s">
        <v>960</v>
      </c>
      <c r="D214" s="150">
        <v>0.56299999999999994</v>
      </c>
      <c r="E214" s="150">
        <v>3.7999999999999999E-2</v>
      </c>
      <c r="F214" s="150"/>
    </row>
    <row r="215" spans="1:6" s="375" customFormat="1" x14ac:dyDescent="0.3">
      <c r="B215" s="375" t="s">
        <v>961</v>
      </c>
      <c r="D215" s="150">
        <v>0.22800000000000001</v>
      </c>
      <c r="E215" s="150">
        <v>1.7000000000000001E-2</v>
      </c>
      <c r="F215" s="150"/>
    </row>
    <row r="216" spans="1:6" x14ac:dyDescent="0.3">
      <c r="B216" t="s">
        <v>962</v>
      </c>
      <c r="D216" s="150">
        <v>7.0000000000000007E-2</v>
      </c>
      <c r="E216" s="150">
        <v>2.7E-2</v>
      </c>
      <c r="F216" s="150"/>
    </row>
    <row r="217" spans="1:6" x14ac:dyDescent="0.3">
      <c r="B217" t="s">
        <v>285</v>
      </c>
      <c r="D217" s="150">
        <v>0.12</v>
      </c>
      <c r="E217" s="150">
        <v>3.5000000000000003E-2</v>
      </c>
      <c r="F217" s="150"/>
    </row>
    <row r="218" spans="1:6" x14ac:dyDescent="0.3">
      <c r="B218" t="s">
        <v>286</v>
      </c>
      <c r="D218" s="150">
        <v>1.9E-2</v>
      </c>
      <c r="E218" s="380">
        <v>8.0000000000000002E-3</v>
      </c>
      <c r="F218" s="150"/>
    </row>
    <row r="219" spans="1:6" ht="15" thickBot="1" x14ac:dyDescent="0.35">
      <c r="C219" t="s">
        <v>287</v>
      </c>
      <c r="D219" s="151">
        <v>1</v>
      </c>
      <c r="E219" s="381"/>
    </row>
    <row r="220" spans="1:6" ht="15" thickTop="1" x14ac:dyDescent="0.3"/>
    <row r="221" spans="1:6" x14ac:dyDescent="0.3">
      <c r="A221" s="124" t="s">
        <v>288</v>
      </c>
    </row>
    <row r="222" spans="1:6" x14ac:dyDescent="0.3">
      <c r="A222" t="s">
        <v>814</v>
      </c>
    </row>
    <row r="223" spans="1:6" x14ac:dyDescent="0.3">
      <c r="A223" t="s">
        <v>815</v>
      </c>
    </row>
    <row r="224" spans="1:6" x14ac:dyDescent="0.3">
      <c r="A224" t="s">
        <v>289</v>
      </c>
    </row>
    <row r="225" spans="1:1" x14ac:dyDescent="0.3">
      <c r="A225" t="s">
        <v>303</v>
      </c>
    </row>
    <row r="226" spans="1:1" x14ac:dyDescent="0.3">
      <c r="A226" t="s">
        <v>290</v>
      </c>
    </row>
    <row r="227" spans="1:1" x14ac:dyDescent="0.3">
      <c r="A227" t="s">
        <v>291</v>
      </c>
    </row>
    <row r="228" spans="1:1" x14ac:dyDescent="0.3">
      <c r="A228" t="s">
        <v>292</v>
      </c>
    </row>
    <row r="229" spans="1:1" x14ac:dyDescent="0.3">
      <c r="A229" t="s">
        <v>295</v>
      </c>
    </row>
    <row r="230" spans="1:1" s="61" customFormat="1" x14ac:dyDescent="0.3"/>
    <row r="231" spans="1:1" x14ac:dyDescent="0.3">
      <c r="A231" s="128" t="s">
        <v>294</v>
      </c>
    </row>
    <row r="232" spans="1:1" x14ac:dyDescent="0.3">
      <c r="A232" s="128" t="s">
        <v>782</v>
      </c>
    </row>
    <row r="233" spans="1:1" x14ac:dyDescent="0.3">
      <c r="A233" s="128" t="s">
        <v>293</v>
      </c>
    </row>
    <row r="235" spans="1:1" x14ac:dyDescent="0.3">
      <c r="A235" s="124" t="s">
        <v>296</v>
      </c>
    </row>
    <row r="236" spans="1:1" x14ac:dyDescent="0.3">
      <c r="A236" s="137" t="s">
        <v>783</v>
      </c>
    </row>
    <row r="237" spans="1:1" x14ac:dyDescent="0.3">
      <c r="A237" s="137" t="s">
        <v>818</v>
      </c>
    </row>
    <row r="238" spans="1:1" x14ac:dyDescent="0.3">
      <c r="A238" s="137" t="s">
        <v>819</v>
      </c>
    </row>
    <row r="239" spans="1:1" x14ac:dyDescent="0.3">
      <c r="A239" s="137" t="s">
        <v>816</v>
      </c>
    </row>
    <row r="240" spans="1:1" x14ac:dyDescent="0.3">
      <c r="A240" s="137" t="s">
        <v>817</v>
      </c>
    </row>
    <row r="241" spans="1:6" ht="9" customHeight="1" x14ac:dyDescent="0.3"/>
    <row r="242" spans="1:6" x14ac:dyDescent="0.3">
      <c r="D242" s="130"/>
      <c r="E242" s="130" t="s">
        <v>298</v>
      </c>
      <c r="F242" s="130"/>
    </row>
    <row r="243" spans="1:6" x14ac:dyDescent="0.3">
      <c r="D243" s="152">
        <v>0.01</v>
      </c>
      <c r="E243" s="130" t="s">
        <v>299</v>
      </c>
      <c r="F243" s="152">
        <v>0.01</v>
      </c>
    </row>
    <row r="244" spans="1:6" x14ac:dyDescent="0.3">
      <c r="D244" s="139" t="s">
        <v>301</v>
      </c>
      <c r="E244" s="139" t="s">
        <v>300</v>
      </c>
      <c r="F244" s="139" t="s">
        <v>302</v>
      </c>
    </row>
    <row r="245" spans="1:6" x14ac:dyDescent="0.3">
      <c r="A245" s="61" t="s">
        <v>784</v>
      </c>
      <c r="B245" s="61"/>
      <c r="C245" s="61"/>
    </row>
    <row r="246" spans="1:6" x14ac:dyDescent="0.3">
      <c r="A246" s="61" t="s">
        <v>297</v>
      </c>
      <c r="B246" s="61"/>
      <c r="C246" s="61"/>
      <c r="D246" s="78">
        <f>2000548973*Calculations!H26</f>
        <v>781774.52766894002</v>
      </c>
      <c r="E246" s="78">
        <f>-9760450*Calculations!H26</f>
        <v>-3814.1886510000004</v>
      </c>
      <c r="F246" s="78">
        <f>-1653810062*Calculations!H26</f>
        <v>-646275.89602836</v>
      </c>
    </row>
    <row r="247" spans="1:6" x14ac:dyDescent="0.3">
      <c r="A247" s="61"/>
      <c r="D247" s="79"/>
      <c r="E247" s="79"/>
      <c r="F247" s="79"/>
    </row>
    <row r="248" spans="1:6" x14ac:dyDescent="0.3">
      <c r="A248" s="124" t="s">
        <v>304</v>
      </c>
    </row>
    <row r="249" spans="1:6" x14ac:dyDescent="0.3">
      <c r="A249" t="s">
        <v>305</v>
      </c>
    </row>
    <row r="250" spans="1:6" x14ac:dyDescent="0.3">
      <c r="A250" t="s">
        <v>306</v>
      </c>
    </row>
    <row r="251" spans="1:6" ht="8.25" customHeight="1" x14ac:dyDescent="0.3"/>
    <row r="252" spans="1:6" x14ac:dyDescent="0.3">
      <c r="A252" s="128" t="s">
        <v>310</v>
      </c>
    </row>
    <row r="253" spans="1:6" x14ac:dyDescent="0.3">
      <c r="A253" s="128" t="s">
        <v>307</v>
      </c>
    </row>
    <row r="254" spans="1:6" x14ac:dyDescent="0.3">
      <c r="A254" s="128" t="s">
        <v>785</v>
      </c>
    </row>
    <row r="255" spans="1:6" x14ac:dyDescent="0.3">
      <c r="A255" s="128" t="s">
        <v>308</v>
      </c>
    </row>
    <row r="257" spans="1:1" x14ac:dyDescent="0.3">
      <c r="A257" s="124" t="s">
        <v>309</v>
      </c>
    </row>
    <row r="258" spans="1:1" x14ac:dyDescent="0.3">
      <c r="A258" s="128" t="s">
        <v>786</v>
      </c>
    </row>
    <row r="259" spans="1:1" x14ac:dyDescent="0.3">
      <c r="A259" s="128" t="s">
        <v>311</v>
      </c>
    </row>
  </sheetData>
  <mergeCells count="11">
    <mergeCell ref="A170:B170"/>
    <mergeCell ref="A98:E98"/>
    <mergeCell ref="B46:F46"/>
    <mergeCell ref="B48:F48"/>
    <mergeCell ref="B47:F47"/>
    <mergeCell ref="B50:F50"/>
    <mergeCell ref="C49:F49"/>
    <mergeCell ref="C51:F51"/>
    <mergeCell ref="C52:F52"/>
    <mergeCell ref="C53:F53"/>
    <mergeCell ref="C167:F167"/>
  </mergeCells>
  <pageMargins left="0.7" right="0.7" top="0.75" bottom="0.75" header="0.3" footer="0.3"/>
  <pageSetup scale="67" orientation="portrait" r:id="rId1"/>
  <rowBreaks count="3" manualBreakCount="3">
    <brk id="64" max="5" man="1"/>
    <brk id="113" max="5" man="1"/>
    <brk id="23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28"/>
  <sheetViews>
    <sheetView zoomScaleNormal="100" workbookViewId="0">
      <selection activeCell="C15" sqref="C15"/>
    </sheetView>
  </sheetViews>
  <sheetFormatPr defaultColWidth="9.109375" defaultRowHeight="13.8" x14ac:dyDescent="0.25"/>
  <cols>
    <col min="1" max="1" width="45.44140625" style="103" customWidth="1"/>
    <col min="2" max="2" width="1.6640625" style="103" customWidth="1"/>
    <col min="3" max="3" width="15.21875" style="103" bestFit="1" customWidth="1"/>
    <col min="4" max="4" width="1.6640625" style="103" customWidth="1"/>
    <col min="5" max="5" width="13.5546875" style="103" bestFit="1" customWidth="1"/>
    <col min="6" max="6" width="1.6640625" style="103" customWidth="1"/>
    <col min="7" max="7" width="14.21875" style="103" bestFit="1" customWidth="1"/>
    <col min="8" max="8" width="1.6640625" style="103" customWidth="1"/>
    <col min="9" max="9" width="13.5546875" style="103" bestFit="1" customWidth="1"/>
    <col min="10" max="10" width="1.6640625" style="103" customWidth="1"/>
    <col min="11" max="11" width="13.5546875" style="103" bestFit="1" customWidth="1"/>
    <col min="12" max="12" width="1.6640625" style="103" customWidth="1"/>
    <col min="13" max="13" width="13.5546875" style="103" bestFit="1" customWidth="1"/>
    <col min="14" max="14" width="1.6640625" style="103" customWidth="1"/>
    <col min="15" max="15" width="13.5546875" style="103" bestFit="1" customWidth="1"/>
    <col min="16" max="16" width="1.6640625" style="103" customWidth="1"/>
    <col min="17" max="17" width="13.5546875" style="103" bestFit="1" customWidth="1"/>
    <col min="18" max="18" width="1.6640625" style="103" customWidth="1"/>
    <col min="19" max="19" width="14.21875" style="103" bestFit="1" customWidth="1"/>
    <col min="20" max="20" width="1.6640625" style="103" customWidth="1"/>
    <col min="21" max="21" width="10.6640625" style="103" customWidth="1"/>
    <col min="22" max="22" width="1.6640625" style="103" customWidth="1"/>
    <col min="23" max="23" width="10.6640625" style="103" customWidth="1"/>
    <col min="24" max="24" width="1.6640625" style="103" customWidth="1"/>
    <col min="25" max="16384" width="9.109375" style="103"/>
  </cols>
  <sheetData>
    <row r="1" spans="1:24" s="102" customFormat="1" ht="15.6" x14ac:dyDescent="0.3">
      <c r="A1" s="429" t="s">
        <v>831</v>
      </c>
      <c r="B1" s="429"/>
      <c r="C1" s="429"/>
      <c r="D1" s="429"/>
      <c r="E1" s="429"/>
      <c r="F1" s="429"/>
      <c r="G1" s="429"/>
      <c r="H1" s="429"/>
      <c r="I1" s="429"/>
      <c r="J1" s="429"/>
      <c r="K1" s="429"/>
      <c r="L1" s="429"/>
      <c r="M1" s="429"/>
      <c r="N1" s="429"/>
      <c r="O1" s="429"/>
      <c r="P1" s="429"/>
      <c r="Q1" s="429"/>
      <c r="R1" s="429"/>
      <c r="S1" s="429"/>
      <c r="T1" s="429"/>
      <c r="U1" s="429"/>
      <c r="V1" s="429"/>
      <c r="W1" s="429"/>
      <c r="X1" s="429"/>
    </row>
    <row r="2" spans="1:24" s="102" customFormat="1" ht="15.6" x14ac:dyDescent="0.3">
      <c r="A2" s="429" t="s">
        <v>832</v>
      </c>
      <c r="B2" s="429"/>
      <c r="C2" s="429"/>
      <c r="D2" s="429"/>
      <c r="E2" s="429"/>
      <c r="F2" s="429"/>
      <c r="G2" s="429"/>
      <c r="H2" s="429"/>
      <c r="I2" s="429"/>
      <c r="J2" s="429"/>
      <c r="K2" s="429"/>
      <c r="L2" s="429"/>
      <c r="M2" s="429"/>
      <c r="N2" s="429"/>
      <c r="O2" s="429"/>
      <c r="P2" s="429"/>
      <c r="Q2" s="429"/>
      <c r="R2" s="429"/>
      <c r="S2" s="429"/>
      <c r="T2" s="429"/>
      <c r="U2" s="429"/>
      <c r="V2" s="429"/>
      <c r="W2" s="429"/>
      <c r="X2" s="429"/>
    </row>
    <row r="3" spans="1:24" ht="15.6" x14ac:dyDescent="0.3">
      <c r="A3" s="429" t="s">
        <v>779</v>
      </c>
      <c r="B3" s="429"/>
      <c r="C3" s="429"/>
      <c r="D3" s="429"/>
      <c r="E3" s="429"/>
      <c r="F3" s="429"/>
      <c r="G3" s="429"/>
      <c r="H3" s="429"/>
      <c r="I3" s="429"/>
      <c r="J3" s="429"/>
      <c r="K3" s="429"/>
      <c r="L3" s="429"/>
      <c r="M3" s="429"/>
      <c r="N3" s="429"/>
      <c r="O3" s="429"/>
      <c r="P3" s="429"/>
      <c r="Q3" s="429"/>
      <c r="R3" s="429"/>
      <c r="S3" s="429"/>
      <c r="T3" s="429"/>
      <c r="U3" s="429"/>
      <c r="V3" s="429"/>
      <c r="W3" s="429"/>
      <c r="X3" s="429"/>
    </row>
    <row r="4" spans="1:24" ht="15.6" x14ac:dyDescent="0.3">
      <c r="A4" s="429" t="s">
        <v>205</v>
      </c>
      <c r="B4" s="429"/>
      <c r="C4" s="429"/>
      <c r="D4" s="429"/>
      <c r="E4" s="429"/>
      <c r="F4" s="429"/>
      <c r="G4" s="429"/>
      <c r="H4" s="429"/>
      <c r="I4" s="429"/>
      <c r="J4" s="429"/>
      <c r="K4" s="429"/>
      <c r="L4" s="429"/>
      <c r="M4" s="429"/>
      <c r="N4" s="429"/>
      <c r="O4" s="429"/>
      <c r="P4" s="429"/>
      <c r="Q4" s="429"/>
      <c r="R4" s="429"/>
      <c r="S4" s="429"/>
      <c r="T4" s="429"/>
      <c r="U4" s="429"/>
      <c r="V4" s="429"/>
      <c r="W4" s="429"/>
      <c r="X4" s="429"/>
    </row>
    <row r="5" spans="1:24" x14ac:dyDescent="0.25">
      <c r="A5" s="104"/>
      <c r="B5" s="104"/>
      <c r="C5" s="104"/>
      <c r="D5" s="104"/>
      <c r="E5" s="104"/>
      <c r="F5" s="104"/>
      <c r="G5" s="104"/>
      <c r="H5" s="104"/>
      <c r="I5" s="104"/>
      <c r="J5" s="104"/>
      <c r="K5" s="104"/>
      <c r="L5" s="104"/>
      <c r="M5" s="104"/>
      <c r="N5" s="104"/>
      <c r="O5" s="104"/>
      <c r="P5" s="104"/>
      <c r="Q5" s="104"/>
      <c r="R5" s="104"/>
      <c r="S5" s="104"/>
      <c r="T5" s="104"/>
      <c r="U5" s="104"/>
      <c r="V5" s="104"/>
      <c r="W5" s="104"/>
      <c r="X5" s="104"/>
    </row>
    <row r="6" spans="1:24" x14ac:dyDescent="0.25">
      <c r="A6" s="430" t="s">
        <v>820</v>
      </c>
      <c r="B6" s="430"/>
      <c r="C6" s="430"/>
      <c r="D6" s="430"/>
      <c r="E6" s="430"/>
      <c r="F6" s="430"/>
      <c r="G6" s="430"/>
      <c r="H6" s="430"/>
      <c r="I6" s="430"/>
      <c r="J6" s="430"/>
      <c r="K6" s="430"/>
      <c r="L6" s="430"/>
      <c r="M6" s="430"/>
      <c r="N6" s="430"/>
      <c r="O6" s="430"/>
      <c r="P6" s="430"/>
      <c r="Q6" s="430"/>
      <c r="R6" s="430"/>
      <c r="S6" s="430"/>
      <c r="T6" s="430"/>
      <c r="U6" s="430"/>
      <c r="V6" s="430"/>
      <c r="W6" s="430"/>
      <c r="X6" s="430"/>
    </row>
    <row r="7" spans="1:24" x14ac:dyDescent="0.25">
      <c r="A7" s="104"/>
      <c r="B7" s="104"/>
      <c r="C7" s="104"/>
      <c r="D7" s="104"/>
      <c r="E7" s="104"/>
      <c r="F7" s="104"/>
      <c r="G7" s="104"/>
      <c r="H7" s="104"/>
      <c r="I7" s="104"/>
      <c r="J7" s="104"/>
      <c r="K7" s="104"/>
      <c r="L7" s="104"/>
      <c r="M7" s="104"/>
      <c r="N7" s="104"/>
      <c r="O7" s="104"/>
      <c r="P7" s="104"/>
      <c r="Q7" s="104"/>
      <c r="R7" s="104"/>
      <c r="S7" s="104"/>
      <c r="T7" s="104"/>
      <c r="U7" s="104"/>
      <c r="V7" s="104"/>
      <c r="W7" s="104"/>
      <c r="X7" s="104"/>
    </row>
    <row r="8" spans="1:24" s="105" customFormat="1" x14ac:dyDescent="0.25">
      <c r="C8" s="106">
        <v>2023</v>
      </c>
      <c r="D8" s="377"/>
      <c r="E8" s="106">
        <v>2022</v>
      </c>
      <c r="F8" s="367"/>
      <c r="G8" s="106">
        <v>2021</v>
      </c>
      <c r="H8" s="338"/>
      <c r="I8" s="106">
        <v>2020</v>
      </c>
      <c r="J8" s="355"/>
      <c r="K8" s="106">
        <v>2019</v>
      </c>
      <c r="L8" s="345"/>
      <c r="M8" s="106">
        <v>2018</v>
      </c>
      <c r="O8" s="106">
        <v>2017</v>
      </c>
      <c r="Q8" s="106">
        <v>2016</v>
      </c>
      <c r="S8" s="106">
        <v>2015</v>
      </c>
      <c r="U8" s="106" t="s">
        <v>206</v>
      </c>
      <c r="W8" s="106" t="s">
        <v>206</v>
      </c>
    </row>
    <row r="10" spans="1:24" x14ac:dyDescent="0.25">
      <c r="A10" s="103" t="s">
        <v>798</v>
      </c>
    </row>
    <row r="11" spans="1:24" x14ac:dyDescent="0.25">
      <c r="A11" s="103" t="s">
        <v>207</v>
      </c>
      <c r="C11" s="120">
        <f>Calculations!H26</f>
        <v>3.9078000000000002E-4</v>
      </c>
      <c r="D11" s="119"/>
      <c r="E11" s="120">
        <f>Calculations!H25</f>
        <v>4.1510000000000001E-4</v>
      </c>
      <c r="F11" s="119"/>
      <c r="G11" s="120">
        <f>Calculations!H24</f>
        <v>3.9285999999999998E-4</v>
      </c>
      <c r="H11" s="119"/>
      <c r="I11" s="120">
        <f>Calculations!H23</f>
        <v>3.7250599999999999E-4</v>
      </c>
      <c r="J11" s="119"/>
      <c r="K11" s="120">
        <f>Calculations!H22</f>
        <v>3.4834599999999997E-4</v>
      </c>
      <c r="L11" s="119"/>
      <c r="M11" s="120">
        <f>Calculations!H21</f>
        <v>3.7250400000000001E-4</v>
      </c>
      <c r="N11" s="119"/>
      <c r="O11" s="120">
        <f>Calculations!H20</f>
        <v>3.64612E-4</v>
      </c>
      <c r="Q11" s="120">
        <f>Calculations!H19</f>
        <v>3.9829299999999998E-4</v>
      </c>
      <c r="S11" s="120">
        <f>Calculations!H18</f>
        <v>3.9618200000000002E-4</v>
      </c>
      <c r="U11" s="108" t="s">
        <v>208</v>
      </c>
      <c r="W11" s="108" t="s">
        <v>208</v>
      </c>
    </row>
    <row r="12" spans="1:24" x14ac:dyDescent="0.25">
      <c r="C12" s="119"/>
      <c r="D12" s="119"/>
      <c r="E12" s="119"/>
      <c r="F12" s="119"/>
      <c r="G12" s="119"/>
      <c r="H12" s="119"/>
      <c r="I12" s="119"/>
      <c r="J12" s="119"/>
      <c r="K12" s="119"/>
      <c r="L12" s="119"/>
      <c r="M12" s="119"/>
      <c r="N12" s="119"/>
      <c r="O12" s="119"/>
    </row>
    <row r="13" spans="1:24" x14ac:dyDescent="0.25">
      <c r="A13" s="103" t="s">
        <v>799</v>
      </c>
      <c r="C13" s="119"/>
      <c r="D13" s="119"/>
      <c r="E13" s="119"/>
      <c r="F13" s="119"/>
      <c r="G13" s="119"/>
      <c r="H13" s="119"/>
      <c r="I13" s="119"/>
      <c r="J13" s="119"/>
      <c r="K13" s="119"/>
      <c r="L13" s="119"/>
      <c r="M13" s="119"/>
      <c r="N13" s="119"/>
      <c r="O13" s="119"/>
    </row>
    <row r="14" spans="1:24" x14ac:dyDescent="0.25">
      <c r="A14" s="103" t="s">
        <v>209</v>
      </c>
      <c r="C14" s="121">
        <f>-9760450*Calculations!H26</f>
        <v>-3814.1886510000004</v>
      </c>
      <c r="D14" s="119"/>
      <c r="E14" s="121">
        <f>-9450623*Calculations!H25</f>
        <v>-3922.9536072999999</v>
      </c>
      <c r="F14" s="119"/>
      <c r="G14" s="121">
        <f>-765828854*Calculations!H24</f>
        <v>-300863.52358243999</v>
      </c>
      <c r="H14" s="119"/>
      <c r="I14" s="121">
        <f>-4342980*Calculations!H23</f>
        <v>-1617.7861078799999</v>
      </c>
      <c r="J14" s="119"/>
      <c r="K14" s="121">
        <f>-10597261*Calculations!H22</f>
        <v>-3691.5134803059996</v>
      </c>
      <c r="L14" s="119"/>
      <c r="M14" s="121">
        <f>-2332231*Calculations!H21</f>
        <v>-868.76537642400001</v>
      </c>
      <c r="N14" s="119"/>
      <c r="O14" s="121">
        <f>-9075103*Calculations!H20</f>
        <v>-3308.891455036</v>
      </c>
      <c r="Q14" s="121">
        <f>337790175*Calculations!H19</f>
        <v>134539.46217127499</v>
      </c>
      <c r="S14" s="121">
        <f>-424128574*Calculations!H18</f>
        <v>-168032.10670446802</v>
      </c>
      <c r="U14" s="109">
        <v>0</v>
      </c>
      <c r="W14" s="109">
        <v>0</v>
      </c>
    </row>
    <row r="15" spans="1:24" x14ac:dyDescent="0.25">
      <c r="C15" s="118"/>
      <c r="D15" s="119"/>
      <c r="E15" s="118"/>
      <c r="F15" s="119"/>
      <c r="G15" s="118"/>
      <c r="H15" s="119"/>
      <c r="I15" s="118"/>
      <c r="J15" s="119"/>
      <c r="K15" s="118"/>
      <c r="L15" s="119"/>
      <c r="M15" s="118"/>
      <c r="N15" s="119"/>
      <c r="O15" s="118"/>
      <c r="Q15" s="109"/>
      <c r="S15" s="109"/>
      <c r="U15" s="109"/>
      <c r="W15" s="109"/>
    </row>
    <row r="16" spans="1:24" x14ac:dyDescent="0.25">
      <c r="A16" s="82" t="s">
        <v>862</v>
      </c>
      <c r="C16" s="121">
        <f>'Contributions &amp; Covered Payroll'!U27</f>
        <v>1007966.7</v>
      </c>
      <c r="D16" s="119"/>
      <c r="E16" s="121">
        <f>'Contributions &amp; Covered Payroll'!S27</f>
        <v>991200</v>
      </c>
      <c r="F16" s="119"/>
      <c r="G16" s="121">
        <f>'Contributions &amp; Covered Payroll'!Q27</f>
        <v>891533.36</v>
      </c>
      <c r="H16" s="119"/>
      <c r="I16" s="121">
        <f>'Contributions &amp; Covered Payroll'!O27</f>
        <v>817533.39999999991</v>
      </c>
      <c r="J16" s="119"/>
      <c r="K16" s="121">
        <f>'Contributions &amp; Covered Payroll'!M27</f>
        <v>740649.96000000008</v>
      </c>
      <c r="L16" s="119"/>
      <c r="M16" s="121">
        <f>'Contributions &amp; Covered Payroll'!K27</f>
        <v>774399.96000000008</v>
      </c>
      <c r="N16" s="119"/>
      <c r="O16" s="121">
        <f>'Contributions &amp; Covered Payroll'!I27</f>
        <v>740816.67999999993</v>
      </c>
      <c r="Q16" s="121">
        <f>'Contributions &amp; Covered Payroll'!G27</f>
        <v>757350</v>
      </c>
      <c r="S16" s="121">
        <f>'Contributions &amp; Covered Payroll'!E27</f>
        <v>723316.64000000013</v>
      </c>
      <c r="U16" s="109">
        <v>0</v>
      </c>
      <c r="W16" s="109">
        <v>0</v>
      </c>
    </row>
    <row r="17" spans="1:23" x14ac:dyDescent="0.25">
      <c r="C17" s="119"/>
      <c r="D17" s="119"/>
      <c r="E17" s="119"/>
      <c r="F17" s="119"/>
      <c r="G17" s="119"/>
      <c r="H17" s="119"/>
      <c r="I17" s="119"/>
      <c r="J17" s="119"/>
      <c r="K17" s="119"/>
      <c r="L17" s="119"/>
      <c r="M17" s="119"/>
      <c r="N17" s="119"/>
      <c r="O17" s="119"/>
    </row>
    <row r="18" spans="1:23" x14ac:dyDescent="0.25">
      <c r="A18" s="103" t="s">
        <v>800</v>
      </c>
      <c r="C18" s="119"/>
      <c r="D18" s="119"/>
      <c r="E18" s="119"/>
      <c r="F18" s="119"/>
      <c r="G18" s="119"/>
      <c r="H18" s="119"/>
      <c r="I18" s="119"/>
      <c r="J18" s="119"/>
      <c r="K18" s="119"/>
      <c r="L18" s="119"/>
      <c r="M18" s="119"/>
      <c r="N18" s="119"/>
      <c r="O18" s="119"/>
    </row>
    <row r="19" spans="1:23" x14ac:dyDescent="0.25">
      <c r="A19" s="103" t="s">
        <v>210</v>
      </c>
      <c r="C19" s="119"/>
      <c r="D19" s="119"/>
      <c r="E19" s="119"/>
      <c r="F19" s="119"/>
      <c r="G19" s="119"/>
      <c r="H19" s="119"/>
      <c r="I19" s="119"/>
      <c r="J19" s="119"/>
      <c r="K19" s="119"/>
      <c r="L19" s="119"/>
      <c r="M19" s="119"/>
      <c r="N19" s="119"/>
      <c r="O19" s="119"/>
    </row>
    <row r="20" spans="1:23" x14ac:dyDescent="0.25">
      <c r="A20" s="103" t="s">
        <v>863</v>
      </c>
      <c r="C20" s="218">
        <f>-C14/C16</f>
        <v>3.7840423210409634E-3</v>
      </c>
      <c r="D20" s="82"/>
      <c r="E20" s="218">
        <f>-E14/E16</f>
        <v>3.9577820896892655E-3</v>
      </c>
      <c r="F20" s="82"/>
      <c r="G20" s="218">
        <f>-G14/G16</f>
        <v>0.33746748812903649</v>
      </c>
      <c r="H20" s="82"/>
      <c r="I20" s="218">
        <f>-I14/I16</f>
        <v>1.978862402294512E-3</v>
      </c>
      <c r="J20" s="82"/>
      <c r="K20" s="218">
        <f>-K14/K16</f>
        <v>4.9841540264256535E-3</v>
      </c>
      <c r="L20" s="82"/>
      <c r="M20" s="218">
        <f>-M14/M16</f>
        <v>1.1218561741971164E-3</v>
      </c>
      <c r="N20" s="82"/>
      <c r="O20" s="218">
        <f>-O14/O16</f>
        <v>4.4665455629805751E-3</v>
      </c>
      <c r="Q20" s="218">
        <f>Q14/Q16</f>
        <v>0.17764502828451179</v>
      </c>
      <c r="S20" s="218">
        <f>-S14/S16</f>
        <v>0.23230781294409042</v>
      </c>
      <c r="U20" s="111" t="e">
        <f>U14/U16</f>
        <v>#DIV/0!</v>
      </c>
      <c r="W20" s="111" t="e">
        <f>W14/W16</f>
        <v>#DIV/0!</v>
      </c>
    </row>
    <row r="21" spans="1:23" x14ac:dyDescent="0.25">
      <c r="C21" s="122"/>
      <c r="D21" s="119"/>
      <c r="E21" s="122"/>
      <c r="F21" s="119"/>
      <c r="G21" s="122"/>
      <c r="H21" s="119"/>
      <c r="I21" s="122"/>
      <c r="J21" s="119"/>
      <c r="K21" s="122"/>
      <c r="L21" s="119"/>
      <c r="M21" s="122"/>
      <c r="N21" s="119"/>
      <c r="O21" s="122"/>
      <c r="Q21" s="112"/>
      <c r="S21" s="112"/>
      <c r="U21" s="112"/>
      <c r="W21" s="112"/>
    </row>
    <row r="22" spans="1:23" x14ac:dyDescent="0.25">
      <c r="A22" s="103" t="s">
        <v>211</v>
      </c>
      <c r="C22" s="112"/>
      <c r="E22" s="112"/>
      <c r="G22" s="112"/>
      <c r="I22" s="112"/>
      <c r="K22" s="112"/>
      <c r="M22" s="112"/>
      <c r="O22" s="112"/>
      <c r="Q22" s="112"/>
      <c r="S22" s="112"/>
      <c r="U22" s="112"/>
      <c r="W22" s="112"/>
    </row>
    <row r="23" spans="1:23" x14ac:dyDescent="0.25">
      <c r="A23" s="103" t="s">
        <v>212</v>
      </c>
      <c r="C23" s="112"/>
      <c r="E23" s="112"/>
      <c r="G23" s="112"/>
      <c r="I23" s="112"/>
      <c r="K23" s="112"/>
      <c r="M23" s="112"/>
      <c r="O23" s="112"/>
      <c r="Q23" s="112"/>
      <c r="S23" s="112"/>
      <c r="U23" s="112"/>
      <c r="W23" s="112"/>
    </row>
    <row r="24" spans="1:23" x14ac:dyDescent="0.25">
      <c r="A24" s="103" t="s">
        <v>213</v>
      </c>
      <c r="C24" s="156">
        <v>1.0009999999999999</v>
      </c>
      <c r="E24" s="156">
        <v>1.0009999999999999</v>
      </c>
      <c r="G24" s="156">
        <v>1.0551999999999999</v>
      </c>
      <c r="I24" s="156">
        <v>1.0004</v>
      </c>
      <c r="K24" s="156">
        <v>1.0008999999999999</v>
      </c>
      <c r="M24" s="156">
        <v>1.0002</v>
      </c>
      <c r="O24" s="304">
        <v>1.0009999999999999</v>
      </c>
      <c r="Q24" s="156">
        <v>0.96889999999999998</v>
      </c>
      <c r="S24" s="156">
        <v>1.0409999999999999</v>
      </c>
      <c r="U24" s="112" t="s">
        <v>208</v>
      </c>
      <c r="W24" s="112" t="s">
        <v>208</v>
      </c>
    </row>
    <row r="27" spans="1:23" x14ac:dyDescent="0.25">
      <c r="A27" s="103" t="s">
        <v>834</v>
      </c>
    </row>
    <row r="28" spans="1:23" x14ac:dyDescent="0.25">
      <c r="A28" s="103" t="s">
        <v>833</v>
      </c>
    </row>
  </sheetData>
  <mergeCells count="5">
    <mergeCell ref="A1:X1"/>
    <mergeCell ref="A3:X3"/>
    <mergeCell ref="A4:X4"/>
    <mergeCell ref="A6:X6"/>
    <mergeCell ref="A2:X2"/>
  </mergeCells>
  <pageMargins left="0.7" right="0.7" top="0.75" bottom="0.75" header="0.3" footer="0.3"/>
  <pageSetup scale="64" orientation="landscape"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24"/>
  <sheetViews>
    <sheetView zoomScaleNormal="100" workbookViewId="0">
      <selection activeCell="A2" sqref="A2:Z2"/>
    </sheetView>
  </sheetViews>
  <sheetFormatPr defaultColWidth="9.109375" defaultRowHeight="13.8" x14ac:dyDescent="0.25"/>
  <cols>
    <col min="1" max="1" width="44.88671875" style="103" customWidth="1"/>
    <col min="2" max="2" width="1.6640625" style="103" customWidth="1"/>
    <col min="3" max="3" width="15.21875" style="103" bestFit="1" customWidth="1"/>
    <col min="4" max="4" width="1.6640625" style="103" customWidth="1"/>
    <col min="5" max="5" width="13.5546875" style="103" bestFit="1" customWidth="1"/>
    <col min="6" max="6" width="1.6640625" style="103" customWidth="1"/>
    <col min="7" max="7" width="13.5546875" style="103" bestFit="1" customWidth="1"/>
    <col min="8" max="8" width="1.6640625" style="103" customWidth="1"/>
    <col min="9" max="9" width="13.5546875" style="103" bestFit="1" customWidth="1"/>
    <col min="10" max="10" width="1.6640625" style="103" customWidth="1"/>
    <col min="11" max="11" width="13.5546875" style="103" bestFit="1" customWidth="1"/>
    <col min="12" max="12" width="1.6640625" style="103" customWidth="1"/>
    <col min="13" max="13" width="13.5546875" style="103" bestFit="1" customWidth="1"/>
    <col min="14" max="14" width="1.6640625" style="103" customWidth="1"/>
    <col min="15" max="15" width="13.5546875" style="103" bestFit="1" customWidth="1"/>
    <col min="16" max="16" width="1.6640625" style="103" customWidth="1"/>
    <col min="17" max="17" width="13.5546875" style="103" bestFit="1" customWidth="1"/>
    <col min="18" max="18" width="1.6640625" style="103" customWidth="1"/>
    <col min="19" max="19" width="13.5546875" style="103" bestFit="1" customWidth="1"/>
    <col min="20" max="20" width="1.6640625" style="103" customWidth="1"/>
    <col min="21" max="21" width="7.5546875" style="103" bestFit="1" customWidth="1"/>
    <col min="22" max="22" width="1.6640625" style="103" customWidth="1"/>
    <col min="23" max="23" width="7.5546875" style="103" bestFit="1" customWidth="1"/>
    <col min="24" max="24" width="1.6640625" style="103" customWidth="1"/>
    <col min="25" max="25" width="7.5546875" style="103" bestFit="1" customWidth="1"/>
    <col min="26" max="26" width="1.6640625" style="103" customWidth="1"/>
    <col min="27" max="16384" width="9.109375" style="103"/>
  </cols>
  <sheetData>
    <row r="1" spans="1:26" s="102" customFormat="1" ht="15.6" x14ac:dyDescent="0.3">
      <c r="A1" s="429" t="s">
        <v>831</v>
      </c>
      <c r="B1" s="429"/>
      <c r="C1" s="429"/>
      <c r="D1" s="429"/>
      <c r="E1" s="429"/>
      <c r="F1" s="429"/>
      <c r="G1" s="429"/>
      <c r="H1" s="429"/>
      <c r="I1" s="429"/>
      <c r="J1" s="429"/>
      <c r="K1" s="429"/>
      <c r="L1" s="429"/>
      <c r="M1" s="429"/>
      <c r="N1" s="429"/>
      <c r="O1" s="429"/>
      <c r="P1" s="429"/>
      <c r="Q1" s="429"/>
      <c r="R1" s="429"/>
      <c r="S1" s="429"/>
      <c r="T1" s="429"/>
      <c r="U1" s="429"/>
      <c r="V1" s="429"/>
      <c r="W1" s="429"/>
      <c r="X1" s="429"/>
      <c r="Y1" s="429"/>
      <c r="Z1" s="429"/>
    </row>
    <row r="2" spans="1:26" s="102" customFormat="1" ht="15.6" x14ac:dyDescent="0.3">
      <c r="A2" s="429" t="s">
        <v>832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row>
    <row r="3" spans="1:26" ht="15.6" x14ac:dyDescent="0.3">
      <c r="A3" s="429" t="s">
        <v>864</v>
      </c>
      <c r="B3" s="429"/>
      <c r="C3" s="429"/>
      <c r="D3" s="429"/>
      <c r="E3" s="429"/>
      <c r="F3" s="429"/>
      <c r="G3" s="429"/>
      <c r="H3" s="429"/>
      <c r="I3" s="429"/>
      <c r="J3" s="429"/>
      <c r="K3" s="429"/>
      <c r="L3" s="429"/>
      <c r="M3" s="429"/>
      <c r="N3" s="429"/>
      <c r="O3" s="429"/>
      <c r="P3" s="429"/>
      <c r="Q3" s="429"/>
      <c r="R3" s="429"/>
      <c r="S3" s="429"/>
      <c r="T3" s="429"/>
      <c r="U3" s="429"/>
      <c r="V3" s="429"/>
      <c r="W3" s="429"/>
      <c r="X3" s="429"/>
      <c r="Y3" s="429"/>
      <c r="Z3" s="429"/>
    </row>
    <row r="4" spans="1:26" ht="9.75" customHeight="1" x14ac:dyDescent="0.3">
      <c r="A4" s="429"/>
      <c r="B4" s="429"/>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1:26" ht="15.6" x14ac:dyDescent="0.3">
      <c r="A5" s="429" t="s">
        <v>205</v>
      </c>
      <c r="B5" s="429"/>
      <c r="C5" s="429"/>
      <c r="D5" s="429"/>
      <c r="E5" s="429"/>
      <c r="F5" s="429"/>
      <c r="G5" s="429"/>
      <c r="H5" s="429"/>
      <c r="I5" s="429"/>
      <c r="J5" s="429"/>
      <c r="K5" s="429"/>
      <c r="L5" s="429"/>
      <c r="M5" s="429"/>
      <c r="N5" s="429"/>
      <c r="O5" s="429"/>
      <c r="P5" s="429"/>
      <c r="Q5" s="429"/>
      <c r="R5" s="429"/>
      <c r="S5" s="429"/>
      <c r="T5" s="429"/>
      <c r="U5" s="429"/>
      <c r="V5" s="429"/>
      <c r="W5" s="429"/>
      <c r="X5" s="429"/>
      <c r="Y5" s="429"/>
      <c r="Z5" s="429"/>
    </row>
    <row r="6" spans="1:26" x14ac:dyDescent="0.2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x14ac:dyDescent="0.25">
      <c r="A7" s="430" t="s">
        <v>835</v>
      </c>
      <c r="B7" s="430"/>
      <c r="C7" s="430"/>
      <c r="D7" s="430"/>
      <c r="E7" s="430"/>
      <c r="F7" s="430"/>
      <c r="G7" s="430"/>
      <c r="H7" s="430"/>
      <c r="I7" s="430"/>
      <c r="J7" s="430"/>
      <c r="K7" s="430"/>
      <c r="L7" s="430"/>
      <c r="M7" s="430"/>
      <c r="N7" s="430"/>
      <c r="O7" s="430"/>
      <c r="P7" s="430"/>
      <c r="Q7" s="430"/>
      <c r="R7" s="430"/>
      <c r="S7" s="430"/>
      <c r="T7" s="430"/>
      <c r="U7" s="430"/>
      <c r="V7" s="430"/>
      <c r="W7" s="430"/>
      <c r="X7" s="430"/>
      <c r="Y7" s="430"/>
      <c r="Z7" s="430"/>
    </row>
    <row r="8" spans="1:26" x14ac:dyDescent="0.25">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row>
    <row r="9" spans="1:26" s="105" customFormat="1" x14ac:dyDescent="0.25">
      <c r="B9" s="338"/>
      <c r="C9" s="106">
        <v>2023</v>
      </c>
      <c r="D9" s="377"/>
      <c r="E9" s="106">
        <v>2022</v>
      </c>
      <c r="F9" s="367"/>
      <c r="G9" s="106">
        <v>2021</v>
      </c>
      <c r="H9" s="355"/>
      <c r="I9" s="106">
        <v>2020</v>
      </c>
      <c r="K9" s="106">
        <v>2019</v>
      </c>
      <c r="L9" s="345"/>
      <c r="M9" s="106">
        <v>2018</v>
      </c>
      <c r="O9" s="106">
        <v>2017</v>
      </c>
      <c r="P9" s="307"/>
      <c r="Q9" s="106">
        <v>2016</v>
      </c>
      <c r="R9" s="307"/>
      <c r="S9" s="106">
        <v>2015</v>
      </c>
      <c r="U9" s="106" t="s">
        <v>206</v>
      </c>
      <c r="W9" s="106" t="s">
        <v>206</v>
      </c>
      <c r="Y9" s="106" t="s">
        <v>206</v>
      </c>
      <c r="Z9" s="107"/>
    </row>
    <row r="11" spans="1:26" x14ac:dyDescent="0.25">
      <c r="A11" s="103" t="s">
        <v>214</v>
      </c>
      <c r="C11" s="121">
        <f>'Contributions &amp; Covered Payroll'!T25</f>
        <v>61838.74</v>
      </c>
      <c r="E11" s="121">
        <f>'Contributions &amp; Covered Payroll'!R25</f>
        <v>59974.98</v>
      </c>
      <c r="G11" s="121">
        <f>'Contributions &amp; Covered Payroll'!P25</f>
        <v>56481.979999999996</v>
      </c>
      <c r="I11" s="121">
        <f>'Contributions &amp; Covered Payroll'!N25</f>
        <v>51272</v>
      </c>
      <c r="K11" s="121">
        <f>'Contributions &amp; Covered Payroll'!L25</f>
        <v>46745.52</v>
      </c>
      <c r="M11" s="121">
        <f>'Contributions &amp; Covered Payroll'!J25</f>
        <v>45451.5</v>
      </c>
      <c r="N11" s="324"/>
      <c r="O11" s="121">
        <f>'Contributions &amp; Covered Payroll'!H25</f>
        <v>45456.520000000004</v>
      </c>
      <c r="P11" s="325"/>
      <c r="Q11" s="121">
        <f>'Contributions &amp; Covered Payroll'!F25</f>
        <v>44944.98</v>
      </c>
      <c r="S11" s="121">
        <f>'Contributions &amp; Covered Payroll'!D25</f>
        <v>44420.020000000004</v>
      </c>
      <c r="U11" s="109">
        <v>0</v>
      </c>
      <c r="W11" s="109">
        <v>0</v>
      </c>
      <c r="Y11" s="109">
        <v>0</v>
      </c>
    </row>
    <row r="12" spans="1:26" x14ac:dyDescent="0.25">
      <c r="C12" s="326"/>
      <c r="E12" s="326"/>
      <c r="G12" s="326"/>
      <c r="I12" s="326"/>
      <c r="K12" s="326"/>
      <c r="M12" s="326"/>
      <c r="N12" s="324"/>
      <c r="O12" s="326"/>
      <c r="P12" s="325"/>
      <c r="Q12" s="327"/>
      <c r="S12" s="327"/>
      <c r="U12" s="114"/>
      <c r="W12" s="114"/>
      <c r="Y12" s="114"/>
      <c r="Z12" s="108"/>
    </row>
    <row r="13" spans="1:26" x14ac:dyDescent="0.25">
      <c r="A13" s="103" t="s">
        <v>790</v>
      </c>
      <c r="C13" s="121"/>
      <c r="E13" s="121"/>
      <c r="G13" s="121"/>
      <c r="I13" s="121"/>
      <c r="K13" s="121"/>
      <c r="M13" s="121"/>
      <c r="N13" s="324"/>
      <c r="O13" s="121"/>
      <c r="P13" s="325"/>
      <c r="Q13" s="328"/>
      <c r="S13" s="328"/>
      <c r="U13" s="109"/>
      <c r="W13" s="109"/>
      <c r="Y13" s="109"/>
    </row>
    <row r="14" spans="1:26" x14ac:dyDescent="0.25">
      <c r="A14" s="103" t="s">
        <v>215</v>
      </c>
      <c r="C14" s="329">
        <f>'Contributions &amp; Covered Payroll'!T25</f>
        <v>61838.74</v>
      </c>
      <c r="E14" s="329">
        <f>'Contributions &amp; Covered Payroll'!R25</f>
        <v>59974.98</v>
      </c>
      <c r="G14" s="329">
        <f>'Contributions &amp; Covered Payroll'!P25</f>
        <v>56481.979999999996</v>
      </c>
      <c r="I14" s="329">
        <f>'Contributions &amp; Covered Payroll'!N25</f>
        <v>51272</v>
      </c>
      <c r="K14" s="329">
        <f>'Contributions &amp; Covered Payroll'!L25</f>
        <v>46745.52</v>
      </c>
      <c r="M14" s="329">
        <f>'Contributions &amp; Covered Payroll'!J25</f>
        <v>45451.5</v>
      </c>
      <c r="N14" s="324"/>
      <c r="O14" s="329">
        <f>'Contributions &amp; Covered Payroll'!H25</f>
        <v>45456.520000000004</v>
      </c>
      <c r="P14" s="325"/>
      <c r="Q14" s="329">
        <f>'Contributions &amp; Covered Payroll'!F25</f>
        <v>44944.98</v>
      </c>
      <c r="S14" s="329">
        <f>'Contributions &amp; Covered Payroll'!D25</f>
        <v>44420.020000000004</v>
      </c>
      <c r="U14" s="115">
        <v>0</v>
      </c>
      <c r="W14" s="115">
        <v>0</v>
      </c>
      <c r="Y14" s="115">
        <v>0</v>
      </c>
    </row>
    <row r="15" spans="1:26" x14ac:dyDescent="0.25">
      <c r="C15" s="324"/>
      <c r="E15" s="324"/>
      <c r="G15" s="324"/>
      <c r="I15" s="324"/>
      <c r="K15" s="324"/>
      <c r="M15" s="324"/>
      <c r="N15" s="324"/>
      <c r="O15" s="324"/>
      <c r="P15" s="325"/>
      <c r="Q15" s="325"/>
      <c r="S15" s="325"/>
      <c r="U15" s="116"/>
      <c r="W15" s="116"/>
      <c r="Y15" s="116"/>
    </row>
    <row r="16" spans="1:26" ht="14.4" thickBot="1" x14ac:dyDescent="0.3">
      <c r="A16" s="103" t="s">
        <v>216</v>
      </c>
      <c r="C16" s="330">
        <f>C11-C14</f>
        <v>0</v>
      </c>
      <c r="E16" s="330">
        <f>E11-E14</f>
        <v>0</v>
      </c>
      <c r="G16" s="330">
        <f>G11-G14</f>
        <v>0</v>
      </c>
      <c r="I16" s="330">
        <f>I11-I14</f>
        <v>0</v>
      </c>
      <c r="K16" s="330">
        <f>K11-K14</f>
        <v>0</v>
      </c>
      <c r="M16" s="330">
        <f>M11-M14</f>
        <v>0</v>
      </c>
      <c r="N16" s="324"/>
      <c r="O16" s="330">
        <f>O11-O14</f>
        <v>0</v>
      </c>
      <c r="P16" s="325"/>
      <c r="Q16" s="331">
        <f>Q11-Q14</f>
        <v>0</v>
      </c>
      <c r="S16" s="331">
        <f>S11-S14</f>
        <v>0</v>
      </c>
      <c r="U16" s="117">
        <f>U11-U14</f>
        <v>0</v>
      </c>
      <c r="W16" s="117">
        <f>W11-W14</f>
        <v>0</v>
      </c>
      <c r="Y16" s="117">
        <f>Y11-Y14</f>
        <v>0</v>
      </c>
    </row>
    <row r="17" spans="1:26" ht="14.4" thickTop="1" x14ac:dyDescent="0.25">
      <c r="C17" s="324"/>
      <c r="E17" s="324"/>
      <c r="G17" s="324"/>
      <c r="I17" s="324"/>
      <c r="K17" s="324"/>
      <c r="M17" s="324"/>
      <c r="N17" s="324"/>
      <c r="O17" s="324"/>
      <c r="P17" s="325"/>
      <c r="Q17" s="325"/>
      <c r="S17" s="325"/>
      <c r="U17" s="116"/>
      <c r="W17" s="116"/>
      <c r="Y17" s="116"/>
    </row>
    <row r="18" spans="1:26" x14ac:dyDescent="0.25">
      <c r="A18" s="82" t="s">
        <v>862</v>
      </c>
      <c r="B18" s="110"/>
      <c r="C18" s="121">
        <f>'Contributions &amp; Covered Payroll'!U25</f>
        <v>1030645.6799999999</v>
      </c>
      <c r="D18" s="110"/>
      <c r="E18" s="121">
        <f>'Contributions &amp; Covered Payroll'!S25</f>
        <v>999583.02</v>
      </c>
      <c r="F18" s="110"/>
      <c r="G18" s="121">
        <f>'Contributions &amp; Covered Payroll'!Q25</f>
        <v>941366.36</v>
      </c>
      <c r="H18" s="110"/>
      <c r="I18" s="121">
        <f>'Contributions &amp; Covered Payroll'!O25</f>
        <v>854533.35999999987</v>
      </c>
      <c r="J18" s="110"/>
      <c r="K18" s="121">
        <f>'Contributions &amp; Covered Payroll'!M25</f>
        <v>779092.02</v>
      </c>
      <c r="L18" s="110"/>
      <c r="M18" s="121">
        <f>'Contributions &amp; Covered Payroll'!K25</f>
        <v>757524.96000000008</v>
      </c>
      <c r="N18" s="324"/>
      <c r="O18" s="121">
        <f>'Contributions &amp; Covered Payroll'!I25</f>
        <v>757608.64000000013</v>
      </c>
      <c r="P18" s="325"/>
      <c r="Q18" s="121">
        <f>'Contributions &amp; Covered Payroll'!G25</f>
        <v>749083.02</v>
      </c>
      <c r="S18" s="121">
        <f>'Contributions &amp; Covered Payroll'!E25</f>
        <v>740333.66</v>
      </c>
      <c r="U18" s="109">
        <v>0</v>
      </c>
      <c r="W18" s="109">
        <v>0</v>
      </c>
      <c r="Y18" s="109">
        <v>0</v>
      </c>
    </row>
    <row r="19" spans="1:26" x14ac:dyDescent="0.25">
      <c r="C19" s="123"/>
      <c r="E19" s="123"/>
      <c r="G19" s="123"/>
      <c r="I19" s="123"/>
      <c r="K19" s="123"/>
      <c r="M19" s="123"/>
      <c r="N19" s="119"/>
      <c r="O19" s="123"/>
      <c r="Q19" s="116"/>
      <c r="S19" s="116"/>
      <c r="U19" s="116"/>
      <c r="W19" s="116"/>
      <c r="Y19" s="116"/>
    </row>
    <row r="20" spans="1:26" x14ac:dyDescent="0.25">
      <c r="A20" s="103" t="s">
        <v>217</v>
      </c>
      <c r="C20" s="123"/>
      <c r="E20" s="123"/>
      <c r="G20" s="123"/>
      <c r="I20" s="123"/>
      <c r="K20" s="123"/>
      <c r="M20" s="123"/>
      <c r="N20" s="119"/>
      <c r="O20" s="123"/>
      <c r="Q20" s="116"/>
      <c r="S20" s="116"/>
      <c r="U20" s="116"/>
      <c r="W20" s="116"/>
      <c r="Y20" s="116"/>
    </row>
    <row r="21" spans="1:26" x14ac:dyDescent="0.25">
      <c r="A21" s="103" t="s">
        <v>865</v>
      </c>
      <c r="C21" s="218">
        <f>C14/C18</f>
        <v>5.9999999223787563E-2</v>
      </c>
      <c r="E21" s="218">
        <f>E14/E18</f>
        <v>5.9999998799499417E-2</v>
      </c>
      <c r="G21" s="218">
        <f>G14/G18</f>
        <v>5.9999998300342916E-2</v>
      </c>
      <c r="I21" s="218">
        <f>I14/I18</f>
        <v>5.9999998127633083E-2</v>
      </c>
      <c r="K21" s="218">
        <f>K14/K18</f>
        <v>5.9999998459745484E-2</v>
      </c>
      <c r="M21" s="218">
        <f>M14/M18</f>
        <v>6.0000003168212433E-2</v>
      </c>
      <c r="N21" s="119"/>
      <c r="O21" s="218">
        <f>O14/O18</f>
        <v>6.0000002111908327E-2</v>
      </c>
      <c r="Q21" s="218">
        <f>Q14/Q18</f>
        <v>5.9999998398041383E-2</v>
      </c>
      <c r="S21" s="218">
        <f>S14/S18</f>
        <v>6.000000054029693E-2</v>
      </c>
      <c r="U21" s="111" t="e">
        <f>U14/U18</f>
        <v>#DIV/0!</v>
      </c>
      <c r="W21" s="111" t="e">
        <f>W14/W18</f>
        <v>#DIV/0!</v>
      </c>
      <c r="Y21" s="111" t="e">
        <f>Y14/Y18</f>
        <v>#DIV/0!</v>
      </c>
      <c r="Z21" s="112"/>
    </row>
    <row r="22" spans="1:26" x14ac:dyDescent="0.25">
      <c r="C22" s="112"/>
      <c r="E22" s="112"/>
      <c r="G22" s="112"/>
      <c r="I22" s="112"/>
      <c r="K22" s="112"/>
      <c r="M22" s="112"/>
      <c r="O22" s="112"/>
      <c r="Q22" s="112"/>
      <c r="S22" s="112"/>
      <c r="U22" s="112"/>
      <c r="W22" s="112"/>
      <c r="Y22" s="112"/>
      <c r="Z22" s="112"/>
    </row>
    <row r="24" spans="1:26" x14ac:dyDescent="0.25">
      <c r="A24" s="103" t="s">
        <v>836</v>
      </c>
    </row>
  </sheetData>
  <mergeCells count="6">
    <mergeCell ref="A1:Z1"/>
    <mergeCell ref="A3:Z3"/>
    <mergeCell ref="A4:Z4"/>
    <mergeCell ref="A5:Z5"/>
    <mergeCell ref="A7:Z7"/>
    <mergeCell ref="A2:Z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Fortin, Rod</cp:lastModifiedBy>
  <cp:lastPrinted>2023-12-31T00:15:43Z</cp:lastPrinted>
  <dcterms:created xsi:type="dcterms:W3CDTF">2016-05-17T04:02:26Z</dcterms:created>
  <dcterms:modified xsi:type="dcterms:W3CDTF">2024-03-14T19:49:54Z</dcterms:modified>
</cp:coreProperties>
</file>